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za objavu\"/>
    </mc:Choice>
  </mc:AlternateContent>
  <bookViews>
    <workbookView xWindow="480" yWindow="105" windowWidth="24240" windowHeight="13620"/>
  </bookViews>
  <sheets>
    <sheet name="1 izmjene" sheetId="8" r:id="rId1"/>
  </sheets>
  <calcPr calcId="162913"/>
</workbook>
</file>

<file path=xl/calcChain.xml><?xml version="1.0" encoding="utf-8"?>
<calcChain xmlns="http://schemas.openxmlformats.org/spreadsheetml/2006/main">
  <c r="G364" i="8" l="1"/>
  <c r="G77" i="8"/>
  <c r="G104" i="8"/>
  <c r="G354" i="8"/>
  <c r="H135" i="8" l="1"/>
  <c r="G135" i="8"/>
  <c r="F135" i="8"/>
  <c r="G52" i="8"/>
  <c r="G107" i="8" l="1"/>
  <c r="G315" i="8"/>
  <c r="G314" i="8" s="1"/>
  <c r="H316" i="8"/>
  <c r="F315" i="8"/>
  <c r="H315" i="8" s="1"/>
  <c r="F314" i="8" l="1"/>
  <c r="H314" i="8" s="1"/>
  <c r="F139" i="8"/>
  <c r="F312" i="8" l="1"/>
  <c r="G163" i="8"/>
  <c r="G76" i="8"/>
  <c r="G73" i="8"/>
  <c r="G71" i="8"/>
  <c r="G88" i="8"/>
  <c r="G105" i="8"/>
  <c r="G79" i="8"/>
  <c r="G82" i="8"/>
  <c r="H462" i="8"/>
  <c r="H461" i="8"/>
  <c r="H426" i="8"/>
  <c r="H395" i="8"/>
  <c r="H214" i="8"/>
  <c r="H215" i="8"/>
  <c r="H213" i="8" s="1"/>
  <c r="H217" i="8"/>
  <c r="H193" i="8"/>
  <c r="H188" i="8"/>
  <c r="H165" i="8"/>
  <c r="H227" i="8"/>
  <c r="G226" i="8"/>
  <c r="H226" i="8" s="1"/>
  <c r="G192" i="8"/>
  <c r="G225" i="8" l="1"/>
  <c r="H225" i="8" s="1"/>
  <c r="G47" i="8"/>
  <c r="G48" i="8"/>
  <c r="H493" i="8" l="1"/>
  <c r="H492" i="8" s="1"/>
  <c r="H473" i="8"/>
  <c r="H472" i="8" s="1"/>
  <c r="G103" i="8"/>
  <c r="H468" i="8"/>
  <c r="G467" i="8"/>
  <c r="H467" i="8"/>
  <c r="H448" i="8"/>
  <c r="H443" i="8"/>
  <c r="H442" i="8" s="1"/>
  <c r="G442" i="8"/>
  <c r="F442" i="8"/>
  <c r="H434" i="8"/>
  <c r="H431" i="8"/>
  <c r="H430" i="8" s="1"/>
  <c r="G423" i="8"/>
  <c r="H423" i="8" s="1"/>
  <c r="H422" i="8" s="1"/>
  <c r="H421" i="8" s="1"/>
  <c r="F422" i="8"/>
  <c r="F421" i="8" s="1"/>
  <c r="H417" i="8"/>
  <c r="H415" i="8"/>
  <c r="H413" i="8"/>
  <c r="G399" i="8"/>
  <c r="H404" i="8"/>
  <c r="H401" i="8"/>
  <c r="H399" i="8" s="1"/>
  <c r="H400" i="8"/>
  <c r="H392" i="8"/>
  <c r="G392" i="8"/>
  <c r="G391" i="8"/>
  <c r="G390" i="8" s="1"/>
  <c r="H391" i="8"/>
  <c r="H390" i="8" s="1"/>
  <c r="F391" i="8"/>
  <c r="F390" i="8" s="1"/>
  <c r="H382" i="8"/>
  <c r="G338" i="8"/>
  <c r="G337" i="8" s="1"/>
  <c r="H364" i="8"/>
  <c r="H363" i="8" s="1"/>
  <c r="H359" i="8"/>
  <c r="H354" i="8"/>
  <c r="H349" i="8"/>
  <c r="H344" i="8"/>
  <c r="H339" i="8"/>
  <c r="H333" i="8"/>
  <c r="H332" i="8"/>
  <c r="H324" i="8"/>
  <c r="H319" i="8"/>
  <c r="H318" i="8" s="1"/>
  <c r="H317" i="8" s="1"/>
  <c r="H311" i="8"/>
  <c r="H306" i="8"/>
  <c r="H305" i="8" s="1"/>
  <c r="H301" i="8"/>
  <c r="G300" i="8"/>
  <c r="H294" i="8"/>
  <c r="H292" i="8"/>
  <c r="H287" i="8"/>
  <c r="H277" i="8"/>
  <c r="H257" i="8"/>
  <c r="H250" i="8"/>
  <c r="H245" i="8"/>
  <c r="H237" i="8"/>
  <c r="H232" i="8"/>
  <c r="H218" i="8"/>
  <c r="G200" i="8"/>
  <c r="H202" i="8"/>
  <c r="H199" i="8"/>
  <c r="H198" i="8" s="1"/>
  <c r="G168" i="8"/>
  <c r="H168" i="8" s="1"/>
  <c r="H106" i="8"/>
  <c r="H107" i="8"/>
  <c r="G194" i="8"/>
  <c r="G189" i="8" s="1"/>
  <c r="G187" i="8"/>
  <c r="G185" i="8" s="1"/>
  <c r="H170" i="8"/>
  <c r="G169" i="8"/>
  <c r="H169" i="8"/>
  <c r="F169" i="8"/>
  <c r="G492" i="8"/>
  <c r="G487" i="8"/>
  <c r="G482" i="8"/>
  <c r="G477" i="8"/>
  <c r="G472" i="8"/>
  <c r="G466" i="8"/>
  <c r="H466" i="8"/>
  <c r="F467" i="8"/>
  <c r="F466" i="8" s="1"/>
  <c r="G463" i="8"/>
  <c r="G460" i="8"/>
  <c r="H460" i="8"/>
  <c r="G455" i="8"/>
  <c r="G447" i="8"/>
  <c r="H447" i="8"/>
  <c r="G440" i="8"/>
  <c r="G438" i="8"/>
  <c r="G437" i="8" s="1"/>
  <c r="G435" i="8" s="1"/>
  <c r="G433" i="8"/>
  <c r="H433" i="8"/>
  <c r="G430" i="8"/>
  <c r="G425" i="8"/>
  <c r="H425" i="8"/>
  <c r="H424" i="8" s="1"/>
  <c r="G424" i="8"/>
  <c r="G416" i="8"/>
  <c r="H416" i="8"/>
  <c r="G412" i="8"/>
  <c r="G394" i="8"/>
  <c r="H394" i="8"/>
  <c r="G386" i="8"/>
  <c r="G381" i="8"/>
  <c r="H381" i="8"/>
  <c r="G376" i="8"/>
  <c r="G371" i="8"/>
  <c r="H358" i="8"/>
  <c r="G358" i="8"/>
  <c r="G357" i="8" s="1"/>
  <c r="H357" i="8"/>
  <c r="G353" i="8"/>
  <c r="H353" i="8"/>
  <c r="G348" i="8"/>
  <c r="H348" i="8"/>
  <c r="G347" i="8"/>
  <c r="H347" i="8"/>
  <c r="G345" i="8"/>
  <c r="H345" i="8"/>
  <c r="G343" i="8"/>
  <c r="G342" i="8" s="1"/>
  <c r="G340" i="8" s="1"/>
  <c r="H343" i="8"/>
  <c r="H342" i="8" s="1"/>
  <c r="H340" i="8" s="1"/>
  <c r="G331" i="8"/>
  <c r="H331" i="8"/>
  <c r="G323" i="8"/>
  <c r="H323" i="8"/>
  <c r="G322" i="8"/>
  <c r="H322" i="8"/>
  <c r="G318" i="8"/>
  <c r="G317" i="8" s="1"/>
  <c r="G312" i="8" s="1"/>
  <c r="G310" i="8"/>
  <c r="H310" i="8"/>
  <c r="G305" i="8"/>
  <c r="G298" i="8"/>
  <c r="G291" i="8"/>
  <c r="G286" i="8"/>
  <c r="H286" i="8"/>
  <c r="G281" i="8"/>
  <c r="G276" i="8"/>
  <c r="H276" i="8"/>
  <c r="G274" i="8"/>
  <c r="G261" i="8"/>
  <c r="G256" i="8"/>
  <c r="H256" i="8"/>
  <c r="G251" i="8"/>
  <c r="G249" i="8"/>
  <c r="H249" i="8"/>
  <c r="G244" i="8"/>
  <c r="H244" i="8"/>
  <c r="G236" i="8"/>
  <c r="H236" i="8"/>
  <c r="G235" i="8"/>
  <c r="H235" i="8"/>
  <c r="G231" i="8"/>
  <c r="H231" i="8"/>
  <c r="G230" i="8"/>
  <c r="H230" i="8"/>
  <c r="G222" i="8"/>
  <c r="G213" i="8"/>
  <c r="G206" i="8"/>
  <c r="G198" i="8"/>
  <c r="G197" i="8" s="1"/>
  <c r="G195" i="8"/>
  <c r="G176" i="8"/>
  <c r="G171" i="8"/>
  <c r="G166" i="8"/>
  <c r="G162" i="8" s="1"/>
  <c r="H418" i="8" l="1"/>
  <c r="G184" i="8"/>
  <c r="G182" i="8" s="1"/>
  <c r="G422" i="8"/>
  <c r="G421" i="8" s="1"/>
  <c r="G418" i="8" s="1"/>
  <c r="H131" i="8"/>
  <c r="G130" i="8"/>
  <c r="H130" i="8"/>
  <c r="H120" i="8"/>
  <c r="G119" i="8"/>
  <c r="H119" i="8"/>
  <c r="G100" i="8"/>
  <c r="G89" i="8"/>
  <c r="G87" i="8"/>
  <c r="G85" i="8"/>
  <c r="G83" i="8"/>
  <c r="G80" i="8"/>
  <c r="G74" i="8"/>
  <c r="G69" i="8" s="1"/>
  <c r="G70" i="8"/>
  <c r="H59" i="8"/>
  <c r="H58" i="8" s="1"/>
  <c r="H55" i="8"/>
  <c r="G58" i="8"/>
  <c r="G42" i="8"/>
  <c r="G46" i="8"/>
  <c r="G51" i="8"/>
  <c r="G54" i="8"/>
  <c r="H53" i="8"/>
  <c r="H49" i="8"/>
  <c r="H50" i="8"/>
  <c r="G41" i="8" l="1"/>
  <c r="G15" i="8" s="1"/>
  <c r="F492" i="8"/>
  <c r="F491" i="8" s="1"/>
  <c r="F489" i="8" s="1"/>
  <c r="H491" i="8"/>
  <c r="H489" i="8" s="1"/>
  <c r="G491" i="8"/>
  <c r="G489" i="8" s="1"/>
  <c r="F488" i="8"/>
  <c r="G486" i="8"/>
  <c r="G484" i="8" s="1"/>
  <c r="F483" i="8"/>
  <c r="G481" i="8"/>
  <c r="G479" i="8" s="1"/>
  <c r="F478" i="8"/>
  <c r="G476" i="8"/>
  <c r="G474" i="8" s="1"/>
  <c r="F472" i="8"/>
  <c r="F471" i="8" s="1"/>
  <c r="H471" i="8"/>
  <c r="G471" i="8"/>
  <c r="G469" i="8" s="1"/>
  <c r="H469" i="8"/>
  <c r="F469" i="8"/>
  <c r="F465" i="8"/>
  <c r="F464" i="8"/>
  <c r="H464" i="8" s="1"/>
  <c r="F460" i="8"/>
  <c r="G459" i="8"/>
  <c r="G457" i="8" s="1"/>
  <c r="F456" i="8"/>
  <c r="G454" i="8"/>
  <c r="G452" i="8" s="1"/>
  <c r="G451" i="8" s="1"/>
  <c r="F447" i="8"/>
  <c r="F446" i="8" s="1"/>
  <c r="H446" i="8"/>
  <c r="G446" i="8"/>
  <c r="G444" i="8" s="1"/>
  <c r="H444" i="8"/>
  <c r="F444" i="8"/>
  <c r="F441" i="8"/>
  <c r="F439" i="8"/>
  <c r="F433" i="8"/>
  <c r="F432" i="8" s="1"/>
  <c r="H432" i="8"/>
  <c r="G432" i="8"/>
  <c r="F430" i="8"/>
  <c r="F429" i="8" s="1"/>
  <c r="F427" i="8" s="1"/>
  <c r="H429" i="8"/>
  <c r="G429" i="8"/>
  <c r="G427" i="8" s="1"/>
  <c r="F425" i="8"/>
  <c r="F424" i="8" s="1"/>
  <c r="F418" i="8" s="1"/>
  <c r="F416" i="8"/>
  <c r="F414" i="8"/>
  <c r="G411" i="8"/>
  <c r="G408" i="8" s="1"/>
  <c r="H403" i="8"/>
  <c r="H402" i="8" s="1"/>
  <c r="G403" i="8"/>
  <c r="F403" i="8"/>
  <c r="F402" i="8" s="1"/>
  <c r="G402" i="8"/>
  <c r="H398" i="8"/>
  <c r="H396" i="8" s="1"/>
  <c r="F399" i="8"/>
  <c r="F398" i="8" s="1"/>
  <c r="G398" i="8"/>
  <c r="F394" i="8"/>
  <c r="F393" i="8" s="1"/>
  <c r="F388" i="8" s="1"/>
  <c r="H393" i="8"/>
  <c r="H388" i="8" s="1"/>
  <c r="G393" i="8"/>
  <c r="G388" i="8" s="1"/>
  <c r="F387" i="8"/>
  <c r="G385" i="8"/>
  <c r="G383" i="8" s="1"/>
  <c r="F381" i="8"/>
  <c r="F380" i="8" s="1"/>
  <c r="H380" i="8"/>
  <c r="G380" i="8"/>
  <c r="G378" i="8" s="1"/>
  <c r="H378" i="8"/>
  <c r="F378" i="8"/>
  <c r="F377" i="8"/>
  <c r="H377" i="8" s="1"/>
  <c r="H376" i="8" s="1"/>
  <c r="H375" i="8"/>
  <c r="G375" i="8"/>
  <c r="G373" i="8" s="1"/>
  <c r="H373" i="8"/>
  <c r="F372" i="8"/>
  <c r="H372" i="8" s="1"/>
  <c r="H371" i="8" s="1"/>
  <c r="H370" i="8" s="1"/>
  <c r="H368" i="8" s="1"/>
  <c r="G370" i="8"/>
  <c r="G368" i="8" s="1"/>
  <c r="G363" i="8"/>
  <c r="G362" i="8" s="1"/>
  <c r="G360" i="8" s="1"/>
  <c r="F363" i="8"/>
  <c r="F362" i="8" s="1"/>
  <c r="H362" i="8"/>
  <c r="H360" i="8" s="1"/>
  <c r="F360" i="8"/>
  <c r="F358" i="8"/>
  <c r="F357" i="8" s="1"/>
  <c r="F355" i="8" s="1"/>
  <c r="H355" i="8"/>
  <c r="G355" i="8"/>
  <c r="F353" i="8"/>
  <c r="F352" i="8" s="1"/>
  <c r="H352" i="8"/>
  <c r="G352" i="8"/>
  <c r="G350" i="8" s="1"/>
  <c r="H350" i="8"/>
  <c r="F350" i="8"/>
  <c r="F348" i="8"/>
  <c r="F347" i="8" s="1"/>
  <c r="F345" i="8" s="1"/>
  <c r="F343" i="8"/>
  <c r="F342" i="8" s="1"/>
  <c r="F340" i="8" s="1"/>
  <c r="F338" i="8"/>
  <c r="G336" i="8"/>
  <c r="G334" i="8" s="1"/>
  <c r="F331" i="8"/>
  <c r="F330" i="8" s="1"/>
  <c r="H330" i="8"/>
  <c r="G330" i="8"/>
  <c r="G328" i="8" s="1"/>
  <c r="H328" i="8"/>
  <c r="F328" i="8"/>
  <c r="F323" i="8"/>
  <c r="F322" i="8" s="1"/>
  <c r="F320" i="8" s="1"/>
  <c r="H320" i="8"/>
  <c r="G320" i="8"/>
  <c r="F318" i="8"/>
  <c r="F317" i="8" s="1"/>
  <c r="H312" i="8"/>
  <c r="F310" i="8"/>
  <c r="F309" i="8" s="1"/>
  <c r="F307" i="8" s="1"/>
  <c r="H309" i="8"/>
  <c r="H307" i="8" s="1"/>
  <c r="G309" i="8"/>
  <c r="G307" i="8" s="1"/>
  <c r="F305" i="8"/>
  <c r="F304" i="8" s="1"/>
  <c r="H304" i="8"/>
  <c r="G304" i="8"/>
  <c r="G302" i="8" s="1"/>
  <c r="H302" i="8"/>
  <c r="F302" i="8"/>
  <c r="F300" i="8"/>
  <c r="H300" i="8" s="1"/>
  <c r="F299" i="8"/>
  <c r="H299" i="8" s="1"/>
  <c r="G297" i="8"/>
  <c r="G295" i="8" s="1"/>
  <c r="F293" i="8"/>
  <c r="G290" i="8"/>
  <c r="G288" i="8" s="1"/>
  <c r="F286" i="8"/>
  <c r="F285" i="8" s="1"/>
  <c r="F283" i="8" s="1"/>
  <c r="H285" i="8"/>
  <c r="H283" i="8" s="1"/>
  <c r="G285" i="8"/>
  <c r="G283" i="8" s="1"/>
  <c r="F282" i="8"/>
  <c r="G280" i="8"/>
  <c r="G278" i="8" s="1"/>
  <c r="F276" i="8"/>
  <c r="F275" i="8"/>
  <c r="H275" i="8" s="1"/>
  <c r="H274" i="8" s="1"/>
  <c r="H273" i="8"/>
  <c r="G273" i="8"/>
  <c r="G271" i="8" s="1"/>
  <c r="H271" i="8"/>
  <c r="F267" i="8"/>
  <c r="G266" i="8"/>
  <c r="G265" i="8" s="1"/>
  <c r="G263" i="8" s="1"/>
  <c r="F262" i="8"/>
  <c r="G260" i="8"/>
  <c r="G258" i="8" s="1"/>
  <c r="F256" i="8"/>
  <c r="F255" i="8" s="1"/>
  <c r="F253" i="8" s="1"/>
  <c r="H255" i="8"/>
  <c r="G255" i="8"/>
  <c r="G253" i="8" s="1"/>
  <c r="H253" i="8"/>
  <c r="F252" i="8"/>
  <c r="H252" i="8" s="1"/>
  <c r="H251" i="8" s="1"/>
  <c r="H248" i="8" s="1"/>
  <c r="H246" i="8" s="1"/>
  <c r="F249" i="8"/>
  <c r="G248" i="8"/>
  <c r="G246" i="8" s="1"/>
  <c r="F244" i="8"/>
  <c r="F243" i="8" s="1"/>
  <c r="F241" i="8" s="1"/>
  <c r="H243" i="8"/>
  <c r="G243" i="8"/>
  <c r="G241" i="8" s="1"/>
  <c r="H241" i="8"/>
  <c r="F236" i="8"/>
  <c r="F235" i="8" s="1"/>
  <c r="F233" i="8" s="1"/>
  <c r="H233" i="8"/>
  <c r="G233" i="8"/>
  <c r="F231" i="8"/>
  <c r="F230" i="8" s="1"/>
  <c r="F228" i="8" s="1"/>
  <c r="H228" i="8"/>
  <c r="G228" i="8"/>
  <c r="F224" i="8"/>
  <c r="H224" i="8" s="1"/>
  <c r="F223" i="8"/>
  <c r="H223" i="8" s="1"/>
  <c r="G221" i="8"/>
  <c r="G219" i="8" s="1"/>
  <c r="H216" i="8"/>
  <c r="H212" i="8" s="1"/>
  <c r="G216" i="8"/>
  <c r="G212" i="8" s="1"/>
  <c r="G210" i="8" s="1"/>
  <c r="F216" i="8"/>
  <c r="F213" i="8"/>
  <c r="H210" i="8"/>
  <c r="F209" i="8"/>
  <c r="H209" i="8" s="1"/>
  <c r="F208" i="8"/>
  <c r="H208" i="8" s="1"/>
  <c r="F207" i="8"/>
  <c r="H207" i="8" s="1"/>
  <c r="G205" i="8"/>
  <c r="G203" i="8" s="1"/>
  <c r="F201" i="8"/>
  <c r="F198" i="8"/>
  <c r="F196" i="8"/>
  <c r="F194" i="8"/>
  <c r="H194" i="8" s="1"/>
  <c r="F192" i="8"/>
  <c r="H192" i="8" s="1"/>
  <c r="F191" i="8"/>
  <c r="H191" i="8" s="1"/>
  <c r="F190" i="8"/>
  <c r="H190" i="8" s="1"/>
  <c r="F187" i="8"/>
  <c r="H187" i="8" s="1"/>
  <c r="F186" i="8"/>
  <c r="F177" i="8"/>
  <c r="F176" i="8" s="1"/>
  <c r="F175" i="8" s="1"/>
  <c r="F173" i="8" s="1"/>
  <c r="G175" i="8"/>
  <c r="G173" i="8" s="1"/>
  <c r="F172" i="8"/>
  <c r="F167" i="8"/>
  <c r="F164" i="8"/>
  <c r="H164" i="8" s="1"/>
  <c r="H163" i="8" s="1"/>
  <c r="G160" i="8"/>
  <c r="H143" i="8"/>
  <c r="G143" i="8"/>
  <c r="F138" i="8"/>
  <c r="F130" i="8"/>
  <c r="F129" i="8" s="1"/>
  <c r="F24" i="8" s="1"/>
  <c r="H129" i="8"/>
  <c r="H24" i="8" s="1"/>
  <c r="G129" i="8"/>
  <c r="G24" i="8" s="1"/>
  <c r="F119" i="8"/>
  <c r="F118" i="8" s="1"/>
  <c r="F23" i="8" s="1"/>
  <c r="H118" i="8"/>
  <c r="G118" i="8"/>
  <c r="F105" i="8"/>
  <c r="H105" i="8" s="1"/>
  <c r="F104" i="8"/>
  <c r="F102" i="8"/>
  <c r="G99" i="8"/>
  <c r="G17" i="8" s="1"/>
  <c r="F90" i="8"/>
  <c r="F88" i="8"/>
  <c r="F86" i="8"/>
  <c r="F84" i="8"/>
  <c r="F82" i="8"/>
  <c r="H82" i="8" s="1"/>
  <c r="F81" i="8"/>
  <c r="F79" i="8"/>
  <c r="H79" i="8" s="1"/>
  <c r="F78" i="8"/>
  <c r="H78" i="8" s="1"/>
  <c r="F77" i="8"/>
  <c r="H77" i="8" s="1"/>
  <c r="F76" i="8"/>
  <c r="H76" i="8" s="1"/>
  <c r="F75" i="8"/>
  <c r="H75" i="8" s="1"/>
  <c r="F73" i="8"/>
  <c r="H73" i="8" s="1"/>
  <c r="F72" i="8"/>
  <c r="H72" i="8" s="1"/>
  <c r="F71" i="8"/>
  <c r="G16" i="8"/>
  <c r="F58" i="8"/>
  <c r="F57" i="8"/>
  <c r="H57" i="8" s="1"/>
  <c r="F56" i="8"/>
  <c r="H56" i="8" s="1"/>
  <c r="F52" i="8"/>
  <c r="F48" i="8"/>
  <c r="H48" i="8" s="1"/>
  <c r="F47" i="8"/>
  <c r="H47" i="8" s="1"/>
  <c r="F45" i="8"/>
  <c r="H45" i="8" s="1"/>
  <c r="F44" i="8"/>
  <c r="H44" i="8" s="1"/>
  <c r="F43" i="8"/>
  <c r="H23" i="8"/>
  <c r="G23" i="8"/>
  <c r="H189" i="8" l="1"/>
  <c r="H206" i="8"/>
  <c r="H205" i="8" s="1"/>
  <c r="H203" i="8" s="1"/>
  <c r="F274" i="8"/>
  <c r="F273" i="8" s="1"/>
  <c r="F271" i="8" s="1"/>
  <c r="G396" i="8"/>
  <c r="G327" i="8"/>
  <c r="F195" i="8"/>
  <c r="H196" i="8"/>
  <c r="H195" i="8" s="1"/>
  <c r="F200" i="8"/>
  <c r="H201" i="8"/>
  <c r="H200" i="8" s="1"/>
  <c r="H197" i="8" s="1"/>
  <c r="F291" i="8"/>
  <c r="F290" i="8" s="1"/>
  <c r="F288" i="8" s="1"/>
  <c r="H293" i="8"/>
  <c r="H291" i="8" s="1"/>
  <c r="H290" i="8" s="1"/>
  <c r="H288" i="8" s="1"/>
  <c r="F386" i="8"/>
  <c r="F385" i="8" s="1"/>
  <c r="F383" i="8" s="1"/>
  <c r="H387" i="8"/>
  <c r="H386" i="8" s="1"/>
  <c r="H385" i="8" s="1"/>
  <c r="H383" i="8" s="1"/>
  <c r="F440" i="8"/>
  <c r="H441" i="8"/>
  <c r="H440" i="8" s="1"/>
  <c r="F482" i="8"/>
  <c r="F481" i="8" s="1"/>
  <c r="F479" i="8" s="1"/>
  <c r="H483" i="8"/>
  <c r="H482" i="8" s="1"/>
  <c r="H481" i="8" s="1"/>
  <c r="H479" i="8" s="1"/>
  <c r="H104" i="8"/>
  <c r="H103" i="8" s="1"/>
  <c r="F103" i="8"/>
  <c r="H177" i="8"/>
  <c r="H176" i="8" s="1"/>
  <c r="H175" i="8" s="1"/>
  <c r="H173" i="8" s="1"/>
  <c r="F185" i="8"/>
  <c r="H186" i="8"/>
  <c r="H185" i="8" s="1"/>
  <c r="H184" i="8" s="1"/>
  <c r="H182" i="8" s="1"/>
  <c r="F189" i="8"/>
  <c r="H222" i="8"/>
  <c r="H221" i="8" s="1"/>
  <c r="H219" i="8" s="1"/>
  <c r="F251" i="8"/>
  <c r="F248" i="8" s="1"/>
  <c r="F246" i="8" s="1"/>
  <c r="F261" i="8"/>
  <c r="F260" i="8" s="1"/>
  <c r="F258" i="8" s="1"/>
  <c r="H262" i="8"/>
  <c r="H261" i="8" s="1"/>
  <c r="H260" i="8" s="1"/>
  <c r="H258" i="8" s="1"/>
  <c r="F266" i="8"/>
  <c r="F265" i="8" s="1"/>
  <c r="F263" i="8" s="1"/>
  <c r="H267" i="8"/>
  <c r="H266" i="8" s="1"/>
  <c r="H265" i="8" s="1"/>
  <c r="H263" i="8" s="1"/>
  <c r="F281" i="8"/>
  <c r="F280" i="8" s="1"/>
  <c r="F278" i="8" s="1"/>
  <c r="H282" i="8"/>
  <c r="H281" i="8" s="1"/>
  <c r="H280" i="8" s="1"/>
  <c r="H278" i="8" s="1"/>
  <c r="H298" i="8"/>
  <c r="H297" i="8" s="1"/>
  <c r="H295" i="8" s="1"/>
  <c r="H338" i="8"/>
  <c r="H337" i="8" s="1"/>
  <c r="H336" i="8" s="1"/>
  <c r="H334" i="8" s="1"/>
  <c r="H327" i="8" s="1"/>
  <c r="H325" i="8" s="1"/>
  <c r="F337" i="8"/>
  <c r="F336" i="8" s="1"/>
  <c r="F334" i="8" s="1"/>
  <c r="F327" i="8" s="1"/>
  <c r="F325" i="8" s="1"/>
  <c r="G367" i="8"/>
  <c r="G365" i="8" s="1"/>
  <c r="F371" i="8"/>
  <c r="F370" i="8" s="1"/>
  <c r="F368" i="8" s="1"/>
  <c r="F376" i="8"/>
  <c r="F375" i="8" s="1"/>
  <c r="F373" i="8" s="1"/>
  <c r="F396" i="8"/>
  <c r="G407" i="8"/>
  <c r="F412" i="8"/>
  <c r="H414" i="8"/>
  <c r="H412" i="8" s="1"/>
  <c r="H411" i="8" s="1"/>
  <c r="H408" i="8" s="1"/>
  <c r="F438" i="8"/>
  <c r="H439" i="8"/>
  <c r="H438" i="8" s="1"/>
  <c r="H437" i="8" s="1"/>
  <c r="H435" i="8" s="1"/>
  <c r="F455" i="8"/>
  <c r="F454" i="8" s="1"/>
  <c r="F452" i="8" s="1"/>
  <c r="H456" i="8"/>
  <c r="H455" i="8" s="1"/>
  <c r="H454" i="8" s="1"/>
  <c r="H452" i="8" s="1"/>
  <c r="F463" i="8"/>
  <c r="H465" i="8"/>
  <c r="H463" i="8" s="1"/>
  <c r="H459" i="8" s="1"/>
  <c r="H457" i="8" s="1"/>
  <c r="F477" i="8"/>
  <c r="F476" i="8" s="1"/>
  <c r="F474" i="8" s="1"/>
  <c r="H478" i="8"/>
  <c r="H477" i="8" s="1"/>
  <c r="H476" i="8" s="1"/>
  <c r="H474" i="8" s="1"/>
  <c r="F487" i="8"/>
  <c r="F486" i="8" s="1"/>
  <c r="F484" i="8" s="1"/>
  <c r="H488" i="8"/>
  <c r="H487" i="8" s="1"/>
  <c r="H486" i="8" s="1"/>
  <c r="H484" i="8" s="1"/>
  <c r="H181" i="8"/>
  <c r="G181" i="8"/>
  <c r="G270" i="8"/>
  <c r="H46" i="8"/>
  <c r="G240" i="8"/>
  <c r="G238" i="8" s="1"/>
  <c r="G325" i="8"/>
  <c r="H54" i="8"/>
  <c r="H74" i="8"/>
  <c r="F42" i="8"/>
  <c r="H43" i="8"/>
  <c r="F70" i="8"/>
  <c r="H71" i="8"/>
  <c r="H70" i="8" s="1"/>
  <c r="F80" i="8"/>
  <c r="H81" i="8"/>
  <c r="F83" i="8"/>
  <c r="H84" i="8"/>
  <c r="H83" i="8" s="1"/>
  <c r="F87" i="8"/>
  <c r="H88" i="8"/>
  <c r="H87" i="8" s="1"/>
  <c r="F100" i="8"/>
  <c r="H102" i="8"/>
  <c r="H100" i="8" s="1"/>
  <c r="F163" i="8"/>
  <c r="F171" i="8"/>
  <c r="H172" i="8"/>
  <c r="H171" i="8" s="1"/>
  <c r="H42" i="8"/>
  <c r="F51" i="8"/>
  <c r="H52" i="8"/>
  <c r="H51" i="8" s="1"/>
  <c r="H80" i="8"/>
  <c r="F85" i="8"/>
  <c r="H86" i="8"/>
  <c r="H85" i="8" s="1"/>
  <c r="F89" i="8"/>
  <c r="H90" i="8"/>
  <c r="H89" i="8" s="1"/>
  <c r="F166" i="8"/>
  <c r="H167" i="8"/>
  <c r="H166" i="8" s="1"/>
  <c r="H162" i="8" s="1"/>
  <c r="F298" i="8"/>
  <c r="F297" i="8" s="1"/>
  <c r="F295" i="8" s="1"/>
  <c r="F270" i="8" s="1"/>
  <c r="F268" i="8" s="1"/>
  <c r="F74" i="8"/>
  <c r="F143" i="8"/>
  <c r="F212" i="8"/>
  <c r="F210" i="8" s="1"/>
  <c r="F222" i="8"/>
  <c r="F221" i="8" s="1"/>
  <c r="F219" i="8" s="1"/>
  <c r="H270" i="8"/>
  <c r="H268" i="8" s="1"/>
  <c r="F411" i="8"/>
  <c r="F408" i="8" s="1"/>
  <c r="H427" i="8"/>
  <c r="F459" i="8"/>
  <c r="F457" i="8" s="1"/>
  <c r="F451" i="8" s="1"/>
  <c r="F449" i="8" s="1"/>
  <c r="F46" i="8"/>
  <c r="F54" i="8"/>
  <c r="F206" i="8"/>
  <c r="F205" i="8" s="1"/>
  <c r="F203" i="8" s="1"/>
  <c r="H179" i="8"/>
  <c r="G25" i="8"/>
  <c r="G179" i="8"/>
  <c r="G268" i="8"/>
  <c r="G405" i="8"/>
  <c r="F25" i="8"/>
  <c r="H25" i="8"/>
  <c r="G159" i="8"/>
  <c r="G157" i="8" s="1"/>
  <c r="G156" i="8" s="1"/>
  <c r="F197" i="8"/>
  <c r="H240" i="8"/>
  <c r="H238" i="8" s="1"/>
  <c r="F367" i="8"/>
  <c r="F365" i="8" s="1"/>
  <c r="H367" i="8"/>
  <c r="H365" i="8" s="1"/>
  <c r="G449" i="8"/>
  <c r="F240" i="8" l="1"/>
  <c r="F238" i="8" s="1"/>
  <c r="F184" i="8"/>
  <c r="F69" i="8"/>
  <c r="F16" i="8" s="1"/>
  <c r="F99" i="8"/>
  <c r="F17" i="8" s="1"/>
  <c r="H451" i="8"/>
  <c r="H449" i="8" s="1"/>
  <c r="F162" i="8"/>
  <c r="F160" i="8" s="1"/>
  <c r="F159" i="8" s="1"/>
  <c r="F157" i="8" s="1"/>
  <c r="F156" i="8" s="1"/>
  <c r="H407" i="8"/>
  <c r="H405" i="8" s="1"/>
  <c r="H178" i="8" s="1"/>
  <c r="H69" i="8"/>
  <c r="F437" i="8"/>
  <c r="F435" i="8" s="1"/>
  <c r="F407" i="8" s="1"/>
  <c r="F405" i="8" s="1"/>
  <c r="H99" i="8"/>
  <c r="H17" i="8" s="1"/>
  <c r="H41" i="8"/>
  <c r="H15" i="8" s="1"/>
  <c r="G178" i="8"/>
  <c r="F41" i="8"/>
  <c r="F15" i="8" s="1"/>
  <c r="F18" i="8" s="1"/>
  <c r="H160" i="8"/>
  <c r="H16" i="8"/>
  <c r="F182" i="8"/>
  <c r="F181" i="8" s="1"/>
  <c r="F179" i="8" s="1"/>
  <c r="F178" i="8" l="1"/>
  <c r="H159" i="8"/>
  <c r="H157" i="8" s="1"/>
  <c r="H156" i="8" s="1"/>
  <c r="H18" i="8"/>
</calcChain>
</file>

<file path=xl/sharedStrings.xml><?xml version="1.0" encoding="utf-8"?>
<sst xmlns="http://schemas.openxmlformats.org/spreadsheetml/2006/main" count="542" uniqueCount="222">
  <si>
    <t>Razred</t>
  </si>
  <si>
    <t>RAZDJEL 001 - OPĆINSKI NAČELNIK I OPĆINSKO VIJEĆE</t>
  </si>
  <si>
    <t>GLAVA 00101 - OPĆINSKI NAČELNIK I OPĆINSKO VIJEĆE</t>
  </si>
  <si>
    <t>Funkcijska klasifikacija: 01 Opće javne usluge</t>
  </si>
  <si>
    <t>Program 1001: Donošenje akata i mjera iz djelokruga predstavničkog i izvršnog tijela</t>
  </si>
  <si>
    <t>A100001: Predstavnička i izvršna tijela</t>
  </si>
  <si>
    <t>RASHODI POSLOVANJA</t>
  </si>
  <si>
    <t>Rashodi za zaposlene</t>
  </si>
  <si>
    <t>Plaće - načelnik</t>
  </si>
  <si>
    <t>Ostali rashodi za zaposlene</t>
  </si>
  <si>
    <t>Doprinosi na plaće</t>
  </si>
  <si>
    <t>Materijalni rashodi</t>
  </si>
  <si>
    <t>Naknade troškova zaposlenima</t>
  </si>
  <si>
    <t>Rashodi za usluge</t>
  </si>
  <si>
    <t>Ostali nespomenuti rashodi poslovanja</t>
  </si>
  <si>
    <t>Ostali rashodi</t>
  </si>
  <si>
    <t>A100002: Dani Općine</t>
  </si>
  <si>
    <t>RAZDJEL 002 - JEDINSTVENI UPRAVNI ODJEL</t>
  </si>
  <si>
    <t>GLAVA 00201 - JEDINSTVENI UPRAVNI ODJEL</t>
  </si>
  <si>
    <t>Program: 1002 Priprema i donošenje akata iz djelokruga tijela</t>
  </si>
  <si>
    <t>A100003: Administrativno, tehničko i stručno osoblje</t>
  </si>
  <si>
    <t>Plaće</t>
  </si>
  <si>
    <t>Rashodi za materijal i energiju</t>
  </si>
  <si>
    <t>Financijski rashodi</t>
  </si>
  <si>
    <t>Ostali financijski rashodi</t>
  </si>
  <si>
    <t>A100034: Mjera radom za zajednicu i sebe-javni radovi</t>
  </si>
  <si>
    <t>A100004: Održavanje zgrada za redovno korištenje</t>
  </si>
  <si>
    <t>A100005: Održavanje plovila i stočnih vaga za redovno korištenje</t>
  </si>
  <si>
    <t>GLAVA 00202 - CIVILNA I PROTUPOŽARNA ZAŠTITA</t>
  </si>
  <si>
    <t>Funkcijska klasifikacija: 03 Javni red i sigurnost</t>
  </si>
  <si>
    <t>Izvor: 01 Opći prihodi i primici</t>
  </si>
  <si>
    <t>Tekuće donacije</t>
  </si>
  <si>
    <t>A100007: Protupožarna zaštita</t>
  </si>
  <si>
    <t>Pomoći dane u inozemstvo i unutar općeg proračuna</t>
  </si>
  <si>
    <t>Pomoći unutar općeg proračuna</t>
  </si>
  <si>
    <t>GLAVA 00203 - GOSPODARSKE I KOMUNALNE DJELATNOSTI</t>
  </si>
  <si>
    <t>Funkcijska klasifikacija: 04 Ekonomski poslovi</t>
  </si>
  <si>
    <t>Program: 1004 Poticanje razvoja gospodarstva</t>
  </si>
  <si>
    <t>Subvencije</t>
  </si>
  <si>
    <t>Tekuće donacije - Civilno društvo i LAG Podravina</t>
  </si>
  <si>
    <t>RASHODI ZA NABAVU NEFINANCIJSKE IMOVINE</t>
  </si>
  <si>
    <t>Rashodi za nabavu proizvedene dugotrajne imovine</t>
  </si>
  <si>
    <t>K100002: Asfaltiranje cesta</t>
  </si>
  <si>
    <t>Ceste-asfaltiranje</t>
  </si>
  <si>
    <t>A100010: Bušenje ispod ceste</t>
  </si>
  <si>
    <t>Naknade građanima i kućanstvima</t>
  </si>
  <si>
    <t>Ostale naknade građanima i kućanstvima</t>
  </si>
  <si>
    <t>A100011: Održavanje cesta i drugih javnih površina</t>
  </si>
  <si>
    <t>A100012: Održavanje groblja</t>
  </si>
  <si>
    <t>Rashodi poslovanja</t>
  </si>
  <si>
    <t>Subvencije poljoprivrednicima</t>
  </si>
  <si>
    <t>Rashodi za nabavu nefinancijske imovine</t>
  </si>
  <si>
    <t>Građevinski objekti</t>
  </si>
  <si>
    <t>Rashodi za nabavu neproizvedene dugotrajne imovine</t>
  </si>
  <si>
    <t>Nematerijalna imovina</t>
  </si>
  <si>
    <t>GLAVA 00204 - KOMUNALNA INFRASTRUKTURA</t>
  </si>
  <si>
    <t>Funkcijska klasifikacija: 06 Usluge unapređenja stanovanja i zajednice</t>
  </si>
  <si>
    <t>A100013: Javna rasvjeta</t>
  </si>
  <si>
    <t>A100014: Komunalne usluge</t>
  </si>
  <si>
    <t>GLAVA 00205: DJELATNOST ŠPORTA, KULTURE I RELIGIJE</t>
  </si>
  <si>
    <t>Funkcijska klasifikacija: 08 Rekreacija, kultura i religija</t>
  </si>
  <si>
    <t>Program: 1006 Razvoj sporta i rekreacije, promicanje kulture i religije</t>
  </si>
  <si>
    <t xml:space="preserve">A100015: Službe rekreacije i sporta </t>
  </si>
  <si>
    <t>A100018: Pomoć vjerskoj zajednici</t>
  </si>
  <si>
    <t>GLAVA 00206: JAVNE POTREBE U OBRAZOVANJU</t>
  </si>
  <si>
    <t>Funkcijska klasifikacija: 09 Obrazovanje</t>
  </si>
  <si>
    <t>Program: 1007 Program obrazovanja</t>
  </si>
  <si>
    <t>Proračunski korisnik: 48015 Dječji vrtić "Bregunica"</t>
  </si>
  <si>
    <t>Postrojenja i oprema</t>
  </si>
  <si>
    <t>Kamate za primljene kredite i zajmove</t>
  </si>
  <si>
    <t>IZDACI ZA FINANCIJSKU IMOVINU I OTPLATE ZAJMOVA</t>
  </si>
  <si>
    <t>Izdaci za otplatu glavnice primljenih kredita i zajmova</t>
  </si>
  <si>
    <t>Otplata glavnice primljenih kredita i zajmova od trgovačkih društava u javnom sektoru</t>
  </si>
  <si>
    <t>A100021: Osnovno obrazovanje</t>
  </si>
  <si>
    <t>Pomoći dane u inozemstvo i unutar opće države</t>
  </si>
  <si>
    <t>Ostale naknade građanima i kućanstvima iz proračuna</t>
  </si>
  <si>
    <t>GLAVA 00207: PROGRAMSKA DJELATNOST SOCIJALNE SKRBI</t>
  </si>
  <si>
    <t>Funkcijska klasifikacija: 10 Socijalna zaštita</t>
  </si>
  <si>
    <t>A100023: Gerontoprogram i drva za socijalno ugrožene obitelji</t>
  </si>
  <si>
    <t>A100025: Darovi za novorođenčad i božićni darovi</t>
  </si>
  <si>
    <t>A100032: Donacije Crvenom križu</t>
  </si>
  <si>
    <t>I. OPĆI DIO</t>
  </si>
  <si>
    <t>Članak 1.</t>
  </si>
  <si>
    <t>PRIMICI OD FINANCIJSKE IMOVINE I ZADUŽIVANJA</t>
  </si>
  <si>
    <t>NETO ZADUŽIVANJA/FINANCIRANJE</t>
  </si>
  <si>
    <t>Članak 2.</t>
  </si>
  <si>
    <t>A. RAČUN  PRIHODA I RASHODA</t>
  </si>
  <si>
    <t>Skupina</t>
  </si>
  <si>
    <t>Podskupina</t>
  </si>
  <si>
    <t>Naziv</t>
  </si>
  <si>
    <t>Prihodi poslovanja</t>
  </si>
  <si>
    <t>Prihodi od poreza</t>
  </si>
  <si>
    <t>Porezi na imovinu</t>
  </si>
  <si>
    <t>Porezi na robu i usluge</t>
  </si>
  <si>
    <t>Pomoći iz inozemstva (darovnice) i od subjekata unutar općeg proračuna</t>
  </si>
  <si>
    <t>Tekuće pomoći proračuna</t>
  </si>
  <si>
    <t>Tekuće pomoći HZZ i izvanproračunskih korisnika</t>
  </si>
  <si>
    <t>Pomoći izravnanja za decentralizirane funkcije</t>
  </si>
  <si>
    <t>Prihodi od imovine</t>
  </si>
  <si>
    <t>Prihodi od nefinancijske imovine</t>
  </si>
  <si>
    <t>Prihodi od kamata za dane zajmove</t>
  </si>
  <si>
    <t>Prihodi od upravnih i administrativnih pristojbi, pristojbi po posebnim propisima i naknadama</t>
  </si>
  <si>
    <t>Upravne i administrativne pristojbe</t>
  </si>
  <si>
    <t>Prihodi po posebnim propisima</t>
  </si>
  <si>
    <t>Komunalni doprinos i naknade</t>
  </si>
  <si>
    <t>Plaće (bruto)</t>
  </si>
  <si>
    <t>Naknade ostalih troškova</t>
  </si>
  <si>
    <t>Materijalna imovina</t>
  </si>
  <si>
    <t>B. RAČUN FINANCIRANJA</t>
  </si>
  <si>
    <t>Primici od financijske imovine i zaduživanja</t>
  </si>
  <si>
    <t>Primljene otplate (povrati) glavnice danih zajmova</t>
  </si>
  <si>
    <t>Primici (povrati) glavnice zajmova danih neprofitnim organizacijama, građanima i kućanstvima</t>
  </si>
  <si>
    <t>Izdaci za financijsku imovinu i otplate zajmova</t>
  </si>
  <si>
    <t>Otplata glavnice primljenih zajmova od trgovačkih društava u javnom sektoru</t>
  </si>
  <si>
    <t>II. POSEBNI DIO</t>
  </si>
  <si>
    <t>Članak 3.</t>
  </si>
  <si>
    <t>Program: 1003 Organiziranje i provođenje zaštite i spašavanja</t>
  </si>
  <si>
    <t>A100006: Civilna zaštita</t>
  </si>
  <si>
    <t>A100008: Spriječavanje nasilja u obitelji te sajam mogućnosti</t>
  </si>
  <si>
    <t>A100035: Program zaštite divljači</t>
  </si>
  <si>
    <t>Program: 1005 Održavanje komunalne infrastrukture</t>
  </si>
  <si>
    <t xml:space="preserve">A100016: Službe kulture </t>
  </si>
  <si>
    <t>A100017: Usluga Bibliobusa</t>
  </si>
  <si>
    <t>A100019: Predškolski odgoj DV "BREGUNICA"</t>
  </si>
  <si>
    <t>A100020: Otplata dugoročnog kredita za izgradnju dječjeg vrtića</t>
  </si>
  <si>
    <t>Pomoći unutar opće države</t>
  </si>
  <si>
    <t>A100022: Troškovi prijevoza studentima i srednjoškolcima</t>
  </si>
  <si>
    <t>Program: 1008 Socijalna skrb te promicanje prava i interesa osoba s invaliditetom</t>
  </si>
  <si>
    <t xml:space="preserve">A100024: Donacije i ostali rashodi </t>
  </si>
  <si>
    <t>A100031: Donacije fizičkim osobama ostale donacije</t>
  </si>
  <si>
    <t>Članak 4.</t>
  </si>
  <si>
    <t>III. ZAVRŠNA ODREDBA</t>
  </si>
  <si>
    <t>Članak 5.</t>
  </si>
  <si>
    <t>OPĆINSKO VIJEĆE</t>
  </si>
  <si>
    <t>OPĆINE NOVO VIRJE</t>
  </si>
  <si>
    <t>Tekuće donacije - političke stranke, udruga općina</t>
  </si>
  <si>
    <t xml:space="preserve">T100004:Strategija, plan i registar imovine </t>
  </si>
  <si>
    <t>A100038: Energetski certifikat javne rasvjete</t>
  </si>
  <si>
    <t>Materijani rashodi</t>
  </si>
  <si>
    <t xml:space="preserve">Subvencije poljoprivrednicima </t>
  </si>
  <si>
    <t xml:space="preserve">A100009: Potpora poljoprivredi </t>
  </si>
  <si>
    <t xml:space="preserve">Subvencije trgovačkim društvima, poljoprivrednicima </t>
  </si>
  <si>
    <t>A100037:Projekt zaželi</t>
  </si>
  <si>
    <t>A100030: Naknada za troškove stanovanja i naknade umirovljenicima</t>
  </si>
  <si>
    <t xml:space="preserve">A100038: Zaštita na radu </t>
  </si>
  <si>
    <t>A100041:Gorska služba spašavanja</t>
  </si>
  <si>
    <t>I PROJEKCIJE ZA 2020. I 2021. GODINU</t>
  </si>
  <si>
    <t>Proračun za 2019.</t>
  </si>
  <si>
    <t>Kazne, upravne mjere i ostali prihodi</t>
  </si>
  <si>
    <t>Ostali prihodi</t>
  </si>
  <si>
    <t>A100050:Izrada projektne dokumentacije vatrogasnih domova</t>
  </si>
  <si>
    <t xml:space="preserve">Izvor: 01 Opći prihodi i primici </t>
  </si>
  <si>
    <t>K100006: Opremanje dj. Igrališta Drenovica</t>
  </si>
  <si>
    <t xml:space="preserve">Doprinosi na plaće </t>
  </si>
  <si>
    <t xml:space="preserve">Rashodi za materijal i energiju </t>
  </si>
  <si>
    <t xml:space="preserve">K100012: Izgradnja vodnokom. infrastrukture aglomeracije </t>
  </si>
  <si>
    <t>A100039: Projektna dokumentacija za ulice</t>
  </si>
  <si>
    <t>K100004: Opremanje dječjeg vrtića</t>
  </si>
  <si>
    <t>01</t>
  </si>
  <si>
    <t>Opći prihodi i primici</t>
  </si>
  <si>
    <t>02</t>
  </si>
  <si>
    <t>Doprinosi</t>
  </si>
  <si>
    <t>03</t>
  </si>
  <si>
    <t>Vlastiti prihodi</t>
  </si>
  <si>
    <t>04</t>
  </si>
  <si>
    <t>Prihodi za posebne namjene</t>
  </si>
  <si>
    <t>05</t>
  </si>
  <si>
    <t>Pomoći</t>
  </si>
  <si>
    <t>06</t>
  </si>
  <si>
    <t>Donacije</t>
  </si>
  <si>
    <t>07</t>
  </si>
  <si>
    <t>08</t>
  </si>
  <si>
    <t>Namjenski primici</t>
  </si>
  <si>
    <t>Šifre izvora financiranja</t>
  </si>
  <si>
    <t>Projekcija Proračuna za 2020.</t>
  </si>
  <si>
    <t>Projekcija Proračuna za 2021.</t>
  </si>
  <si>
    <t>Prihodi od prodaje ili zamjene nef. imovine i naknada s naslova osiguranja</t>
  </si>
  <si>
    <t>Ukupno po izvorima:</t>
  </si>
  <si>
    <t>Izvor: 01 Opći prihodi i primici i 04 Prihodi za posebne namjene</t>
  </si>
  <si>
    <t>Izvor: 01 Opći prihodi i primici i 04 prihodi za posebne namjene</t>
  </si>
  <si>
    <t>Izvor: 01 Opći prihodi i primici i 05 Pomoći</t>
  </si>
  <si>
    <t>Izvor: 01 Opći prihodi i primici 05 Pomoći</t>
  </si>
  <si>
    <t>Izvor: 05 Pomoći</t>
  </si>
  <si>
    <t xml:space="preserve">K100007: Opremanje dj.igrališta Crnec i Medvedička </t>
  </si>
  <si>
    <t>RASHODI ZA NABAVU NEF. IMOVINE</t>
  </si>
  <si>
    <t xml:space="preserve">Porez i prirez na dohodak </t>
  </si>
  <si>
    <t>Izvor financiranja</t>
  </si>
  <si>
    <t>01,04</t>
  </si>
  <si>
    <t>01,05</t>
  </si>
  <si>
    <t>01,04,05</t>
  </si>
  <si>
    <t>RAZLIKA- VIŠAK/MANJAK</t>
  </si>
  <si>
    <t>6) PRIHODI POSLOVANJA</t>
  </si>
  <si>
    <t>3) RASHODI POSLOVANJA</t>
  </si>
  <si>
    <t>4) RASHODI ZA NABAVU NEFINANCIJSKE IMOVINE</t>
  </si>
  <si>
    <t>8) PRIMICI OD FINANCIJSKE IMOVINE I ZADUŽIVANJA</t>
  </si>
  <si>
    <t>5) ZAJMOVA</t>
  </si>
  <si>
    <t>Katarina Kozarić Šabarić</t>
  </si>
  <si>
    <t>A. RAČUN PRIHODA I RASHODA</t>
  </si>
  <si>
    <t xml:space="preserve">                  PREDSJEDNICA</t>
  </si>
  <si>
    <t>IZMJENE I DOPUNE PRORAČUNA OPĆINE NOVO VIRJE ZA 2019. GODINU</t>
  </si>
  <si>
    <t>Povećanje / Smanjenje</t>
  </si>
  <si>
    <t>Novi plan Proračuna za 2019.</t>
  </si>
  <si>
    <t xml:space="preserve">            U članku 2. Prihodi i rashodi te primici i izdaci po ekonomskoj klasifikaciji utvrđeni u Računu prihoda i rashoda i Računu financiranja mijenjaju se u A. Računu prihoda i rashoda i B. Računu financiranja, kako slijedi:</t>
  </si>
  <si>
    <t xml:space="preserve">            Izmjene Plana razvojnih programa Općine Novo Virje za 2019. godinu nalaze se u prilogu Proračuna i njegov su sastavni dio. </t>
  </si>
  <si>
    <t xml:space="preserve">            Ove Izmjene i dopune Proračuna stupaju na snagu osmog dana od dana objave u "Službenom glasniku Koprivničko - križevačke županije".</t>
  </si>
  <si>
    <r>
      <t xml:space="preserve">        </t>
    </r>
    <r>
      <rPr>
        <sz val="10"/>
        <rFont val="Arial"/>
        <family val="2"/>
        <charset val="238"/>
      </rPr>
      <t xml:space="preserve">    U Proračunu Općine Novo Virje za 2019. godinu i projekcijama za 2020. i 2021. godinu ("Službeni glasnik Koprivničko - križevačke županije" broj 27/18)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(u daljnjem tekstu: Proračun) u članku 1. mijenjaju se: A. Račun prihoda i rashoda i B. Račun financiranja, kako slijedi:</t>
    </r>
  </si>
  <si>
    <t>VIŠAK PRIHODA I PRIMITAKA</t>
  </si>
  <si>
    <t>VIŠAK SREDSTAVA IZ PROTEKLIH GODINA                                                         949.306,80</t>
  </si>
  <si>
    <t>Prijevozna sredstva</t>
  </si>
  <si>
    <t>Nematerijalna proizvedena imovina</t>
  </si>
  <si>
    <t xml:space="preserve">Tekuće donacije </t>
  </si>
  <si>
    <t>Pomoći temeljem prijenosa EU sredstava</t>
  </si>
  <si>
    <t>A100047: Istražni radovi i plan sanacije odlagalište otpada</t>
  </si>
  <si>
    <t>A100036: Imovinsko pravni odnosi za ceste</t>
  </si>
  <si>
    <t>A100027: Poticanje stjecanje znanja i vještina u poljoprivrednoj djelatnosti</t>
  </si>
  <si>
    <t>K100011: Kante za odvojeni otpad</t>
  </si>
  <si>
    <t>K100013: Mobilno reciklažno dvorište</t>
  </si>
  <si>
    <t xml:space="preserve">            Rashodi poslovanja i rashodi za nabavu nefinancijske imovine u Izmjenama i dopunama Proračuna u ukupnoj svoti 5.642.482,36 kuna raspoređuju se po korisnicima i programima u Posebnom dijelu Izmjena i dopuna Proračuna, kako slijedi:</t>
  </si>
  <si>
    <t xml:space="preserve">Novo Virje, 12.srpnja 2019.                               </t>
  </si>
  <si>
    <t>KLASA: 400-06/19-01/04</t>
  </si>
  <si>
    <t xml:space="preserve">URBROJ: 2137/22-19-1 </t>
  </si>
  <si>
    <t xml:space="preserve">            Na temelju članka 39. Zakona o proračunu ("Narodne novine" broj 87/08, 136/12. i 15/15) i članka 29. Statuta Općine Novo Virje ("Službeni glasnik Koprivničko - križevačke županije" broj 6/13. i 3/18), Općinsko vijeće Općine Novo Virje na 19. sjednici započetoj 5. srpnja, a nastavljenoj 12.srpnja 2019. donijelo 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</si>
</sst>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8"/>
      <name val="Arial"/>
      <family val="2"/>
      <charset val="1"/>
    </font>
    <font>
      <b/>
      <i/>
      <sz val="10"/>
      <name val="Arial"/>
      <family val="2"/>
      <charset val="1"/>
    </font>
    <font>
      <b/>
      <sz val="10"/>
      <name val="Arial"/>
      <family val="2"/>
      <charset val="1"/>
    </font>
    <font>
      <b/>
      <sz val="8"/>
      <color rgb="FF000000"/>
      <name val="Arial"/>
      <family val="2"/>
      <charset val="238"/>
    </font>
    <font>
      <b/>
      <sz val="10"/>
      <color theme="3" tint="0.39997558519241921"/>
      <name val="Arial"/>
      <family val="2"/>
      <charset val="238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b/>
      <i/>
      <sz val="10"/>
      <name val="Arial"/>
      <family val="2"/>
    </font>
    <font>
      <sz val="10"/>
      <name val="Arial"/>
      <family val="2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sz val="7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7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C3D69B"/>
        <bgColor rgb="FFDDD9C3"/>
      </patternFill>
    </fill>
    <fill>
      <patternFill patternType="solid">
        <fgColor rgb="FFBFBFBF"/>
        <bgColor rgb="FFC3D69B"/>
      </patternFill>
    </fill>
    <fill>
      <patternFill patternType="solid">
        <fgColor rgb="FFD9D9D9"/>
        <bgColor rgb="FFDDD9C3"/>
      </patternFill>
    </fill>
    <fill>
      <patternFill patternType="solid">
        <fgColor rgb="FFFCD5B5"/>
        <bgColor rgb="FFF2DCDB"/>
      </patternFill>
    </fill>
    <fill>
      <patternFill patternType="solid">
        <fgColor rgb="FFFAC090"/>
        <bgColor rgb="FFFCD5B5"/>
      </patternFill>
    </fill>
    <fill>
      <patternFill patternType="solid">
        <fgColor theme="9" tint="0.59999389629810485"/>
        <bgColor rgb="FFDDD9C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1">
    <xf numFmtId="0" fontId="0" fillId="0" borderId="0" xfId="0"/>
    <xf numFmtId="0" fontId="3" fillId="0" borderId="0" xfId="1" applyFont="1"/>
    <xf numFmtId="0" fontId="0" fillId="0" borderId="0" xfId="0" applyFont="1"/>
    <xf numFmtId="0" fontId="4" fillId="0" borderId="0" xfId="0" applyFont="1"/>
    <xf numFmtId="4" fontId="3" fillId="0" borderId="0" xfId="1" applyNumberFormat="1" applyFont="1"/>
    <xf numFmtId="0" fontId="2" fillId="0" borderId="0" xfId="1" applyFont="1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4" fillId="0" borderId="1" xfId="0" applyFont="1" applyBorder="1"/>
    <xf numFmtId="4" fontId="4" fillId="0" borderId="1" xfId="0" applyNumberFormat="1" applyFont="1" applyBorder="1"/>
    <xf numFmtId="0" fontId="5" fillId="0" borderId="1" xfId="0" applyFont="1" applyBorder="1"/>
    <xf numFmtId="4" fontId="5" fillId="0" borderId="1" xfId="0" applyNumberFormat="1" applyFont="1" applyBorder="1"/>
    <xf numFmtId="0" fontId="4" fillId="0" borderId="1" xfId="0" applyFont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wrapText="1"/>
    </xf>
    <xf numFmtId="4" fontId="5" fillId="0" borderId="0" xfId="0" applyNumberFormat="1" applyFont="1" applyBorder="1"/>
    <xf numFmtId="0" fontId="5" fillId="2" borderId="1" xfId="0" applyFont="1" applyFill="1" applyBorder="1"/>
    <xf numFmtId="0" fontId="3" fillId="2" borderId="1" xfId="0" applyFont="1" applyFill="1" applyBorder="1" applyAlignment="1">
      <alignment wrapText="1"/>
    </xf>
    <xf numFmtId="4" fontId="4" fillId="2" borderId="1" xfId="0" applyNumberFormat="1" applyFont="1" applyFill="1" applyBorder="1"/>
    <xf numFmtId="0" fontId="5" fillId="3" borderId="1" xfId="0" applyFont="1" applyFill="1" applyBorder="1"/>
    <xf numFmtId="0" fontId="6" fillId="3" borderId="1" xfId="0" applyFont="1" applyFill="1" applyBorder="1" applyAlignment="1">
      <alignment wrapText="1"/>
    </xf>
    <xf numFmtId="4" fontId="4" fillId="3" borderId="1" xfId="0" applyNumberFormat="1" applyFont="1" applyFill="1" applyBorder="1"/>
    <xf numFmtId="0" fontId="6" fillId="0" borderId="1" xfId="0" applyFont="1" applyBorder="1" applyAlignment="1">
      <alignment wrapText="1"/>
    </xf>
    <xf numFmtId="0" fontId="5" fillId="4" borderId="1" xfId="0" applyFont="1" applyFill="1" applyBorder="1"/>
    <xf numFmtId="0" fontId="6" fillId="4" borderId="1" xfId="0" applyFont="1" applyFill="1" applyBorder="1" applyAlignment="1">
      <alignment wrapText="1"/>
    </xf>
    <xf numFmtId="4" fontId="4" fillId="4" borderId="1" xfId="0" applyNumberFormat="1" applyFont="1" applyFill="1" applyBorder="1"/>
    <xf numFmtId="0" fontId="5" fillId="0" borderId="5" xfId="0" applyFont="1" applyBorder="1"/>
    <xf numFmtId="0" fontId="3" fillId="5" borderId="1" xfId="0" applyFont="1" applyFill="1" applyBorder="1"/>
    <xf numFmtId="4" fontId="4" fillId="5" borderId="1" xfId="0" applyNumberFormat="1" applyFont="1" applyFill="1" applyBorder="1"/>
    <xf numFmtId="0" fontId="7" fillId="0" borderId="1" xfId="0" applyFont="1" applyBorder="1"/>
    <xf numFmtId="4" fontId="4" fillId="0" borderId="0" xfId="0" applyNumberFormat="1" applyFont="1" applyBorder="1"/>
    <xf numFmtId="0" fontId="3" fillId="0" borderId="1" xfId="0" applyFont="1" applyBorder="1"/>
    <xf numFmtId="0" fontId="2" fillId="0" borderId="1" xfId="0" applyFont="1" applyBorder="1"/>
    <xf numFmtId="0" fontId="3" fillId="0" borderId="0" xfId="0" applyFont="1" applyBorder="1"/>
    <xf numFmtId="0" fontId="3" fillId="0" borderId="5" xfId="0" applyFont="1" applyBorder="1"/>
    <xf numFmtId="0" fontId="8" fillId="0" borderId="1" xfId="0" applyFont="1" applyBorder="1"/>
    <xf numFmtId="0" fontId="2" fillId="0" borderId="0" xfId="0" applyFont="1" applyBorder="1"/>
    <xf numFmtId="0" fontId="3" fillId="2" borderId="6" xfId="0" applyFont="1" applyFill="1" applyBorder="1" applyAlignment="1">
      <alignment wrapText="1"/>
    </xf>
    <xf numFmtId="0" fontId="3" fillId="3" borderId="6" xfId="0" applyFont="1" applyFill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4" borderId="6" xfId="0" applyFont="1" applyFill="1" applyBorder="1" applyAlignment="1">
      <alignment wrapText="1"/>
    </xf>
    <xf numFmtId="0" fontId="3" fillId="5" borderId="6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5" borderId="4" xfId="0" applyFont="1" applyFill="1" applyBorder="1" applyAlignment="1">
      <alignment wrapText="1"/>
    </xf>
    <xf numFmtId="0" fontId="2" fillId="0" borderId="5" xfId="0" applyFont="1" applyBorder="1"/>
    <xf numFmtId="0" fontId="3" fillId="5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0" fontId="4" fillId="0" borderId="0" xfId="0" applyFont="1" applyBorder="1"/>
    <xf numFmtId="0" fontId="4" fillId="0" borderId="5" xfId="0" applyFont="1" applyBorder="1"/>
    <xf numFmtId="0" fontId="4" fillId="5" borderId="1" xfId="0" applyFont="1" applyFill="1" applyBorder="1"/>
    <xf numFmtId="0" fontId="6" fillId="0" borderId="1" xfId="0" applyFont="1" applyBorder="1"/>
    <xf numFmtId="0" fontId="2" fillId="0" borderId="1" xfId="0" applyFont="1" applyBorder="1" applyAlignment="1">
      <alignment wrapText="1"/>
    </xf>
    <xf numFmtId="0" fontId="6" fillId="0" borderId="0" xfId="0" applyFont="1" applyBorder="1"/>
    <xf numFmtId="0" fontId="4" fillId="5" borderId="1" xfId="0" applyFont="1" applyFill="1" applyBorder="1" applyAlignment="1">
      <alignment wrapText="1"/>
    </xf>
    <xf numFmtId="0" fontId="3" fillId="3" borderId="1" xfId="0" applyFont="1" applyFill="1" applyBorder="1"/>
    <xf numFmtId="0" fontId="3" fillId="3" borderId="1" xfId="0" applyFont="1" applyFill="1" applyBorder="1" applyAlignment="1">
      <alignment wrapText="1"/>
    </xf>
    <xf numFmtId="0" fontId="3" fillId="4" borderId="1" xfId="0" applyFont="1" applyFill="1" applyBorder="1"/>
    <xf numFmtId="0" fontId="3" fillId="4" borderId="1" xfId="0" applyFont="1" applyFill="1" applyBorder="1" applyAlignment="1">
      <alignment wrapText="1"/>
    </xf>
    <xf numFmtId="0" fontId="9" fillId="0" borderId="0" xfId="0" applyFont="1" applyFill="1" applyBorder="1"/>
    <xf numFmtId="0" fontId="2" fillId="0" borderId="0" xfId="0" applyFont="1" applyFill="1" applyBorder="1"/>
    <xf numFmtId="0" fontId="3" fillId="6" borderId="1" xfId="0" applyFont="1" applyFill="1" applyBorder="1"/>
    <xf numFmtId="4" fontId="4" fillId="6" borderId="1" xfId="0" applyNumberFormat="1" applyFont="1" applyFill="1" applyBorder="1"/>
    <xf numFmtId="0" fontId="9" fillId="0" borderId="0" xfId="0" applyFont="1" applyBorder="1"/>
    <xf numFmtId="0" fontId="10" fillId="0" borderId="1" xfId="0" applyFont="1" applyBorder="1"/>
    <xf numFmtId="0" fontId="9" fillId="0" borderId="1" xfId="0" applyFont="1" applyBorder="1"/>
    <xf numFmtId="4" fontId="2" fillId="0" borderId="1" xfId="0" applyNumberFormat="1" applyFont="1" applyBorder="1"/>
    <xf numFmtId="0" fontId="4" fillId="0" borderId="0" xfId="0" applyFont="1" applyFill="1" applyBorder="1"/>
    <xf numFmtId="0" fontId="4" fillId="7" borderId="1" xfId="0" applyFont="1" applyFill="1" applyBorder="1" applyAlignment="1">
      <alignment wrapText="1"/>
    </xf>
    <xf numFmtId="4" fontId="4" fillId="7" borderId="1" xfId="0" applyNumberFormat="1" applyFont="1" applyFill="1" applyBorder="1"/>
    <xf numFmtId="0" fontId="4" fillId="8" borderId="1" xfId="0" applyFont="1" applyFill="1" applyBorder="1" applyAlignment="1">
      <alignment wrapText="1"/>
    </xf>
    <xf numFmtId="4" fontId="4" fillId="8" borderId="1" xfId="0" applyNumberFormat="1" applyFont="1" applyFill="1" applyBorder="1"/>
    <xf numFmtId="4" fontId="4" fillId="0" borderId="1" xfId="0" applyNumberFormat="1" applyFont="1" applyFill="1" applyBorder="1"/>
    <xf numFmtId="0" fontId="3" fillId="8" borderId="1" xfId="0" applyFont="1" applyFill="1" applyBorder="1"/>
    <xf numFmtId="4" fontId="3" fillId="5" borderId="1" xfId="0" applyNumberFormat="1" applyFont="1" applyFill="1" applyBorder="1"/>
    <xf numFmtId="0" fontId="11" fillId="0" borderId="1" xfId="0" applyFont="1" applyBorder="1" applyAlignment="1">
      <alignment wrapText="1"/>
    </xf>
    <xf numFmtId="0" fontId="5" fillId="0" borderId="0" xfId="0" applyFont="1" applyAlignment="1">
      <alignment horizontal="center"/>
    </xf>
    <xf numFmtId="4" fontId="5" fillId="0" borderId="0" xfId="0" applyNumberFormat="1" applyFont="1"/>
    <xf numFmtId="0" fontId="5" fillId="0" borderId="1" xfId="0" applyFont="1" applyBorder="1" applyAlignment="1">
      <alignment shrinkToFit="1"/>
    </xf>
    <xf numFmtId="4" fontId="12" fillId="0" borderId="0" xfId="0" applyNumberFormat="1" applyFont="1" applyBorder="1"/>
    <xf numFmtId="0" fontId="13" fillId="0" borderId="0" xfId="0" applyFont="1" applyFill="1" applyBorder="1"/>
    <xf numFmtId="0" fontId="13" fillId="0" borderId="5" xfId="0" applyFont="1" applyFill="1" applyBorder="1"/>
    <xf numFmtId="0" fontId="13" fillId="8" borderId="1" xfId="0" applyFont="1" applyFill="1" applyBorder="1" applyAlignment="1">
      <alignment wrapText="1"/>
    </xf>
    <xf numFmtId="4" fontId="14" fillId="8" borderId="1" xfId="0" applyNumberFormat="1" applyFont="1" applyFill="1" applyBorder="1"/>
    <xf numFmtId="0" fontId="0" fillId="0" borderId="7" xfId="0" applyFill="1" applyBorder="1"/>
    <xf numFmtId="0" fontId="0" fillId="0" borderId="8" xfId="0" applyFill="1" applyBorder="1"/>
    <xf numFmtId="4" fontId="15" fillId="0" borderId="0" xfId="0" applyNumberFormat="1" applyFont="1" applyFill="1"/>
    <xf numFmtId="0" fontId="13" fillId="0" borderId="1" xfId="0" applyFont="1" applyFill="1" applyBorder="1"/>
    <xf numFmtId="0" fontId="13" fillId="0" borderId="1" xfId="0" applyFont="1" applyFill="1" applyBorder="1" applyAlignment="1">
      <alignment wrapText="1"/>
    </xf>
    <xf numFmtId="4" fontId="14" fillId="0" borderId="1" xfId="0" applyNumberFormat="1" applyFont="1" applyFill="1" applyBorder="1"/>
    <xf numFmtId="4" fontId="16" fillId="0" borderId="1" xfId="0" applyNumberFormat="1" applyFont="1" applyFill="1" applyBorder="1"/>
    <xf numFmtId="0" fontId="17" fillId="0" borderId="1" xfId="0" applyFont="1" applyFill="1" applyBorder="1"/>
    <xf numFmtId="0" fontId="2" fillId="0" borderId="1" xfId="0" applyFont="1" applyFill="1" applyBorder="1"/>
    <xf numFmtId="0" fontId="18" fillId="0" borderId="1" xfId="0" applyFont="1" applyFill="1" applyBorder="1"/>
    <xf numFmtId="4" fontId="15" fillId="0" borderId="1" xfId="0" applyNumberFormat="1" applyFont="1" applyFill="1" applyBorder="1"/>
    <xf numFmtId="0" fontId="2" fillId="0" borderId="1" xfId="0" applyFont="1" applyBorder="1" applyAlignment="1">
      <alignment shrinkToFit="1"/>
    </xf>
    <xf numFmtId="4" fontId="3" fillId="0" borderId="1" xfId="0" applyNumberFormat="1" applyFont="1" applyBorder="1"/>
    <xf numFmtId="4" fontId="3" fillId="0" borderId="1" xfId="1" applyNumberFormat="1" applyFont="1" applyBorder="1"/>
    <xf numFmtId="0" fontId="19" fillId="0" borderId="0" xfId="0" applyFont="1"/>
    <xf numFmtId="4" fontId="2" fillId="0" borderId="0" xfId="0" applyNumberFormat="1" applyFont="1" applyBorder="1"/>
    <xf numFmtId="0" fontId="3" fillId="8" borderId="1" xfId="0" applyFont="1" applyFill="1" applyBorder="1" applyAlignment="1">
      <alignment shrinkToFit="1"/>
    </xf>
    <xf numFmtId="0" fontId="2" fillId="0" borderId="4" xfId="0" applyFont="1" applyBorder="1"/>
    <xf numFmtId="0" fontId="3" fillId="8" borderId="1" xfId="0" applyFont="1" applyFill="1" applyBorder="1" applyAlignment="1">
      <alignment wrapText="1"/>
    </xf>
    <xf numFmtId="4" fontId="4" fillId="9" borderId="1" xfId="0" applyNumberFormat="1" applyFont="1" applyFill="1" applyBorder="1"/>
    <xf numFmtId="0" fontId="0" fillId="9" borderId="0" xfId="0" applyFill="1"/>
    <xf numFmtId="0" fontId="3" fillId="10" borderId="1" xfId="0" applyFont="1" applyFill="1" applyBorder="1"/>
    <xf numFmtId="4" fontId="4" fillId="10" borderId="1" xfId="0" applyNumberFormat="1" applyFont="1" applyFill="1" applyBorder="1"/>
    <xf numFmtId="0" fontId="20" fillId="0" borderId="0" xfId="0" applyFont="1"/>
    <xf numFmtId="4" fontId="21" fillId="0" borderId="1" xfId="0" applyNumberFormat="1" applyFont="1" applyBorder="1"/>
    <xf numFmtId="0" fontId="2" fillId="0" borderId="4" xfId="0" applyFont="1" applyBorder="1" applyAlignment="1">
      <alignment wrapText="1"/>
    </xf>
    <xf numFmtId="4" fontId="5" fillId="0" borderId="4" xfId="0" applyNumberFormat="1" applyFont="1" applyBorder="1"/>
    <xf numFmtId="0" fontId="20" fillId="0" borderId="1" xfId="0" applyFont="1" applyBorder="1"/>
    <xf numFmtId="0" fontId="5" fillId="0" borderId="9" xfId="0" applyFont="1" applyBorder="1" applyAlignment="1">
      <alignment horizontal="left"/>
    </xf>
    <xf numFmtId="0" fontId="11" fillId="0" borderId="1" xfId="0" applyFont="1" applyFill="1" applyBorder="1"/>
    <xf numFmtId="0" fontId="0" fillId="9" borderId="0" xfId="0" applyFont="1" applyFill="1"/>
    <xf numFmtId="4" fontId="5" fillId="9" borderId="0" xfId="0" applyNumberFormat="1" applyFont="1" applyFill="1"/>
    <xf numFmtId="0" fontId="7" fillId="0" borderId="1" xfId="0" applyFont="1" applyBorder="1" applyAlignment="1">
      <alignment wrapText="1"/>
    </xf>
    <xf numFmtId="0" fontId="7" fillId="8" borderId="1" xfId="0" applyFont="1" applyFill="1" applyBorder="1" applyAlignment="1">
      <alignment wrapText="1"/>
    </xf>
    <xf numFmtId="0" fontId="7" fillId="0" borderId="2" xfId="0" applyFont="1" applyBorder="1"/>
    <xf numFmtId="0" fontId="6" fillId="0" borderId="11" xfId="0" applyFont="1" applyBorder="1"/>
    <xf numFmtId="0" fontId="6" fillId="9" borderId="12" xfId="0" applyFont="1" applyFill="1" applyBorder="1"/>
    <xf numFmtId="0" fontId="6" fillId="9" borderId="7" xfId="0" applyFont="1" applyFill="1" applyBorder="1"/>
    <xf numFmtId="0" fontId="2" fillId="9" borderId="8" xfId="0" applyFont="1" applyFill="1" applyBorder="1"/>
    <xf numFmtId="0" fontId="2" fillId="0" borderId="13" xfId="0" applyFont="1" applyBorder="1"/>
    <xf numFmtId="4" fontId="4" fillId="9" borderId="10" xfId="0" applyNumberFormat="1" applyFont="1" applyFill="1" applyBorder="1"/>
    <xf numFmtId="4" fontId="4" fillId="9" borderId="6" xfId="0" applyNumberFormat="1" applyFont="1" applyFill="1" applyBorder="1"/>
    <xf numFmtId="0" fontId="3" fillId="0" borderId="11" xfId="0" applyFont="1" applyBorder="1"/>
    <xf numFmtId="0" fontId="2" fillId="0" borderId="8" xfId="0" applyFont="1" applyBorder="1"/>
    <xf numFmtId="0" fontId="3" fillId="0" borderId="14" xfId="0" applyFont="1" applyBorder="1"/>
    <xf numFmtId="0" fontId="2" fillId="0" borderId="12" xfId="0" applyFont="1" applyBorder="1"/>
    <xf numFmtId="0" fontId="3" fillId="0" borderId="13" xfId="0" applyFont="1" applyBorder="1"/>
    <xf numFmtId="0" fontId="2" fillId="0" borderId="7" xfId="0" applyFont="1" applyBorder="1"/>
    <xf numFmtId="4" fontId="5" fillId="0" borderId="10" xfId="0" applyNumberFormat="1" applyFont="1" applyBorder="1"/>
    <xf numFmtId="4" fontId="5" fillId="0" borderId="6" xfId="0" applyNumberFormat="1" applyFont="1" applyBorder="1"/>
    <xf numFmtId="0" fontId="22" fillId="0" borderId="0" xfId="0" applyFont="1"/>
    <xf numFmtId="0" fontId="22" fillId="0" borderId="1" xfId="0" applyFont="1" applyBorder="1"/>
    <xf numFmtId="49" fontId="22" fillId="0" borderId="1" xfId="0" applyNumberFormat="1" applyFont="1" applyBorder="1"/>
    <xf numFmtId="0" fontId="2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/>
    </xf>
    <xf numFmtId="0" fontId="22" fillId="9" borderId="0" xfId="0" applyFont="1" applyFill="1"/>
    <xf numFmtId="0" fontId="2" fillId="9" borderId="0" xfId="0" applyFont="1" applyFill="1"/>
    <xf numFmtId="0" fontId="19" fillId="9" borderId="0" xfId="0" applyFont="1" applyFill="1"/>
    <xf numFmtId="0" fontId="0" fillId="9" borderId="0" xfId="0" applyFont="1" applyFill="1" applyAlignment="1"/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4" fontId="2" fillId="0" borderId="4" xfId="0" applyNumberFormat="1" applyFont="1" applyBorder="1"/>
    <xf numFmtId="4" fontId="25" fillId="0" borderId="0" xfId="0" applyNumberFormat="1" applyFont="1"/>
    <xf numFmtId="0" fontId="25" fillId="0" borderId="0" xfId="0" applyFont="1"/>
    <xf numFmtId="0" fontId="16" fillId="0" borderId="0" xfId="0" applyFont="1"/>
    <xf numFmtId="0" fontId="26" fillId="0" borderId="0" xfId="0" applyFont="1"/>
    <xf numFmtId="4" fontId="25" fillId="0" borderId="1" xfId="0" applyNumberFormat="1" applyFont="1" applyBorder="1"/>
    <xf numFmtId="0" fontId="3" fillId="0" borderId="4" xfId="0" applyFont="1" applyBorder="1" applyAlignment="1">
      <alignment wrapText="1" shrinkToFit="1"/>
    </xf>
    <xf numFmtId="4" fontId="2" fillId="9" borderId="1" xfId="0" applyNumberFormat="1" applyFont="1" applyFill="1" applyBorder="1"/>
    <xf numFmtId="4" fontId="5" fillId="9" borderId="1" xfId="0" applyNumberFormat="1" applyFont="1" applyFill="1" applyBorder="1"/>
    <xf numFmtId="49" fontId="22" fillId="9" borderId="1" xfId="0" applyNumberFormat="1" applyFont="1" applyFill="1" applyBorder="1"/>
    <xf numFmtId="0" fontId="5" fillId="9" borderId="1" xfId="0" applyFont="1" applyFill="1" applyBorder="1"/>
    <xf numFmtId="4" fontId="3" fillId="9" borderId="1" xfId="0" applyNumberFormat="1" applyFont="1" applyFill="1" applyBorder="1"/>
    <xf numFmtId="0" fontId="3" fillId="0" borderId="0" xfId="1" applyFont="1" applyBorder="1" applyAlignment="1">
      <alignment horizontal="left"/>
    </xf>
    <xf numFmtId="0" fontId="0" fillId="0" borderId="0" xfId="0" applyFill="1" applyBorder="1"/>
    <xf numFmtId="0" fontId="0" fillId="0" borderId="5" xfId="0" applyFill="1" applyBorder="1"/>
    <xf numFmtId="0" fontId="11" fillId="0" borderId="2" xfId="0" applyFont="1" applyFill="1" applyBorder="1"/>
    <xf numFmtId="0" fontId="16" fillId="0" borderId="0" xfId="0" applyFont="1" applyBorder="1"/>
    <xf numFmtId="49" fontId="22" fillId="0" borderId="1" xfId="0" applyNumberFormat="1" applyFont="1" applyBorder="1" applyAlignment="1">
      <alignment vertical="center" wrapText="1"/>
    </xf>
    <xf numFmtId="0" fontId="27" fillId="9" borderId="0" xfId="0" applyFont="1" applyFill="1"/>
    <xf numFmtId="4" fontId="2" fillId="9" borderId="0" xfId="0" applyNumberFormat="1" applyFont="1" applyFill="1"/>
    <xf numFmtId="0" fontId="3" fillId="0" borderId="0" xfId="1" applyFont="1" applyBorder="1" applyAlignment="1">
      <alignment horizontal="left"/>
    </xf>
    <xf numFmtId="0" fontId="2" fillId="9" borderId="0" xfId="1" applyFont="1" applyFill="1" applyBorder="1" applyAlignment="1">
      <alignment horizontal="left" wrapText="1"/>
    </xf>
    <xf numFmtId="0" fontId="3" fillId="0" borderId="0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4" fillId="9" borderId="0" xfId="1" applyFont="1" applyFill="1" applyBorder="1" applyAlignment="1">
      <alignment horizontal="left" wrapText="1"/>
    </xf>
    <xf numFmtId="0" fontId="22" fillId="0" borderId="1" xfId="0" applyFont="1" applyBorder="1" applyAlignment="1">
      <alignment horizontal="center"/>
    </xf>
    <xf numFmtId="0" fontId="3" fillId="0" borderId="1" xfId="1" applyFont="1" applyBorder="1" applyAlignment="1">
      <alignment horizontal="left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/>
    </xf>
    <xf numFmtId="0" fontId="16" fillId="0" borderId="1" xfId="0" applyFont="1" applyBorder="1" applyAlignment="1">
      <alignment horizontal="left"/>
    </xf>
    <xf numFmtId="0" fontId="2" fillId="0" borderId="0" xfId="1" applyFont="1" applyBorder="1" applyAlignment="1">
      <alignment horizontal="left" wrapText="1"/>
    </xf>
    <xf numFmtId="0" fontId="22" fillId="0" borderId="2" xfId="0" applyFont="1" applyBorder="1" applyAlignment="1">
      <alignment horizontal="center" vertical="center" textRotation="90" shrinkToFit="1"/>
    </xf>
    <xf numFmtId="0" fontId="22" fillId="0" borderId="3" xfId="0" applyFont="1" applyBorder="1" applyAlignment="1">
      <alignment horizontal="center" vertical="center" textRotation="90" shrinkToFit="1"/>
    </xf>
    <xf numFmtId="0" fontId="22" fillId="0" borderId="4" xfId="0" applyFont="1" applyBorder="1" applyAlignment="1">
      <alignment horizontal="center" vertical="center" textRotation="90" shrinkToFi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16" fillId="0" borderId="1" xfId="0" applyFont="1" applyBorder="1"/>
    <xf numFmtId="0" fontId="22" fillId="0" borderId="1" xfId="0" applyFont="1" applyBorder="1" applyAlignment="1">
      <alignment horizontal="center" vertical="center" textRotation="90" wrapText="1"/>
    </xf>
    <xf numFmtId="0" fontId="22" fillId="0" borderId="1" xfId="0" applyFont="1" applyBorder="1" applyAlignment="1">
      <alignment horizontal="center" vertical="center" textRotation="90" shrinkToFit="1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 applyProtection="1">
      <alignment horizontal="center"/>
      <protection locked="0"/>
    </xf>
    <xf numFmtId="0" fontId="3" fillId="0" borderId="0" xfId="0" applyFont="1" applyBorder="1" applyAlignment="1">
      <alignment horizontal="left"/>
    </xf>
    <xf numFmtId="0" fontId="5" fillId="9" borderId="0" xfId="0" applyFont="1" applyFill="1" applyBorder="1" applyAlignment="1">
      <alignment horizontal="left" wrapText="1"/>
    </xf>
    <xf numFmtId="0" fontId="5" fillId="9" borderId="0" xfId="0" applyFont="1" applyFill="1" applyBorder="1" applyAlignment="1">
      <alignment horizontal="center"/>
    </xf>
    <xf numFmtId="0" fontId="0" fillId="9" borderId="0" xfId="0" applyFont="1" applyFill="1" applyAlignment="1">
      <alignment horizontal="center"/>
    </xf>
    <xf numFmtId="0" fontId="5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/>
    </xf>
  </cellXfs>
  <cellStyles count="2">
    <cellStyle name="Normal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5"/>
  <sheetViews>
    <sheetView tabSelected="1" workbookViewId="0">
      <selection activeCell="K14" sqref="K14"/>
    </sheetView>
  </sheetViews>
  <sheetFormatPr defaultRowHeight="15" x14ac:dyDescent="0.25"/>
  <cols>
    <col min="1" max="1" width="4.7109375" style="136" customWidth="1"/>
    <col min="2" max="2" width="3.28515625" style="2" customWidth="1"/>
    <col min="3" max="3" width="3.7109375" style="2" customWidth="1"/>
    <col min="4" max="4" width="5.28515625" style="2" customWidth="1"/>
    <col min="5" max="5" width="37.140625" style="2" customWidth="1"/>
    <col min="6" max="6" width="14" style="2" customWidth="1"/>
    <col min="7" max="7" width="13.42578125" style="2" customWidth="1"/>
    <col min="8" max="8" width="15.140625" style="2" customWidth="1"/>
    <col min="11" max="11" width="11.7109375" bestFit="1" customWidth="1"/>
    <col min="12" max="12" width="13" customWidth="1"/>
  </cols>
  <sheetData>
    <row r="1" spans="1:16" s="146" customFormat="1" ht="42.75" customHeight="1" x14ac:dyDescent="0.25">
      <c r="A1" s="168"/>
      <c r="B1" s="171" t="s">
        <v>221</v>
      </c>
      <c r="C1" s="171"/>
      <c r="D1" s="171"/>
      <c r="E1" s="171"/>
      <c r="F1" s="171"/>
      <c r="G1" s="171"/>
      <c r="H1" s="171"/>
    </row>
    <row r="2" spans="1:16" x14ac:dyDescent="0.25">
      <c r="B2"/>
      <c r="C2"/>
      <c r="D2"/>
      <c r="E2"/>
      <c r="F2"/>
      <c r="G2"/>
      <c r="H2"/>
    </row>
    <row r="3" spans="1:16" x14ac:dyDescent="0.25">
      <c r="B3" s="172" t="s">
        <v>199</v>
      </c>
      <c r="C3" s="172"/>
      <c r="D3" s="172"/>
      <c r="E3" s="172"/>
      <c r="F3" s="172"/>
      <c r="G3" s="172"/>
      <c r="H3" s="172"/>
    </row>
    <row r="4" spans="1:16" x14ac:dyDescent="0.25">
      <c r="B4" s="172" t="s">
        <v>146</v>
      </c>
      <c r="C4" s="172"/>
      <c r="D4" s="172"/>
      <c r="E4" s="172"/>
      <c r="F4" s="172"/>
      <c r="G4" s="172"/>
      <c r="H4" s="172"/>
    </row>
    <row r="5" spans="1:16" x14ac:dyDescent="0.25">
      <c r="B5" s="1"/>
      <c r="C5" s="1"/>
      <c r="D5" s="1"/>
      <c r="E5" s="1"/>
      <c r="F5" s="1"/>
      <c r="G5"/>
      <c r="H5"/>
    </row>
    <row r="6" spans="1:16" x14ac:dyDescent="0.25">
      <c r="B6" s="170" t="s">
        <v>81</v>
      </c>
      <c r="C6" s="170"/>
      <c r="D6" s="170"/>
      <c r="E6" s="170"/>
      <c r="F6" s="170"/>
      <c r="G6" s="170"/>
      <c r="H6" s="170"/>
    </row>
    <row r="7" spans="1:16" x14ac:dyDescent="0.25">
      <c r="I7" s="106"/>
      <c r="J7" s="106"/>
      <c r="K7" s="106"/>
      <c r="L7" s="106"/>
      <c r="M7" s="106"/>
      <c r="N7" s="106"/>
      <c r="O7" s="106"/>
    </row>
    <row r="8" spans="1:16" x14ac:dyDescent="0.25">
      <c r="B8" s="173" t="s">
        <v>82</v>
      </c>
      <c r="C8" s="173"/>
      <c r="D8" s="173"/>
      <c r="E8" s="173"/>
      <c r="F8" s="173"/>
      <c r="G8" s="173"/>
      <c r="H8" s="173"/>
      <c r="I8" s="106"/>
      <c r="J8" s="106"/>
      <c r="K8" s="106"/>
      <c r="L8" s="106"/>
      <c r="M8" s="106"/>
      <c r="N8" s="106"/>
      <c r="O8" s="106"/>
      <c r="P8" s="106"/>
    </row>
    <row r="10" spans="1:16" s="106" customFormat="1" ht="41.25" customHeight="1" x14ac:dyDescent="0.25">
      <c r="A10" s="146"/>
      <c r="B10" s="174" t="s">
        <v>205</v>
      </c>
      <c r="C10" s="174"/>
      <c r="D10" s="174"/>
      <c r="E10" s="174"/>
      <c r="F10" s="174"/>
      <c r="G10" s="174"/>
      <c r="H10" s="174"/>
    </row>
    <row r="11" spans="1:16" x14ac:dyDescent="0.25">
      <c r="B11"/>
      <c r="C11"/>
      <c r="D11"/>
      <c r="E11"/>
      <c r="F11"/>
      <c r="G11"/>
      <c r="H11"/>
    </row>
    <row r="12" spans="1:16" x14ac:dyDescent="0.25">
      <c r="B12" s="3" t="s">
        <v>197</v>
      </c>
      <c r="C12"/>
      <c r="D12"/>
      <c r="E12"/>
      <c r="F12"/>
      <c r="G12"/>
      <c r="H12"/>
    </row>
    <row r="13" spans="1:16" x14ac:dyDescent="0.25">
      <c r="B13" s="3"/>
      <c r="C13"/>
      <c r="D13"/>
      <c r="E13"/>
      <c r="F13"/>
      <c r="G13"/>
      <c r="H13"/>
    </row>
    <row r="14" spans="1:16" ht="38.25" x14ac:dyDescent="0.25">
      <c r="A14" s="175"/>
      <c r="B14" s="175"/>
      <c r="C14" s="175"/>
      <c r="D14" s="175"/>
      <c r="E14" s="175"/>
      <c r="F14" s="140" t="s">
        <v>147</v>
      </c>
      <c r="G14" s="140" t="s">
        <v>200</v>
      </c>
      <c r="H14" s="140" t="s">
        <v>201</v>
      </c>
    </row>
    <row r="15" spans="1:16" x14ac:dyDescent="0.25">
      <c r="A15" s="176" t="s">
        <v>191</v>
      </c>
      <c r="B15" s="176"/>
      <c r="C15" s="176"/>
      <c r="D15" s="176"/>
      <c r="E15" s="176"/>
      <c r="F15" s="99">
        <f>F41</f>
        <v>4942894.59</v>
      </c>
      <c r="G15" s="99">
        <f>G41</f>
        <v>-250719.02999999991</v>
      </c>
      <c r="H15" s="99">
        <f>H41</f>
        <v>4692175.5600000005</v>
      </c>
    </row>
    <row r="16" spans="1:16" x14ac:dyDescent="0.25">
      <c r="A16" s="176" t="s">
        <v>192</v>
      </c>
      <c r="B16" s="176"/>
      <c r="C16" s="176"/>
      <c r="D16" s="176"/>
      <c r="E16" s="176"/>
      <c r="F16" s="99">
        <f>F69</f>
        <v>3089056.59</v>
      </c>
      <c r="G16" s="99">
        <f>G69</f>
        <v>21418.769999999997</v>
      </c>
      <c r="H16" s="99">
        <f>H69</f>
        <v>3110475.36</v>
      </c>
    </row>
    <row r="17" spans="1:8" x14ac:dyDescent="0.25">
      <c r="A17" s="176" t="s">
        <v>193</v>
      </c>
      <c r="B17" s="176"/>
      <c r="C17" s="176"/>
      <c r="D17" s="176"/>
      <c r="E17" s="176"/>
      <c r="F17" s="99">
        <f>F99</f>
        <v>1554838</v>
      </c>
      <c r="G17" s="99">
        <f>G99</f>
        <v>677169</v>
      </c>
      <c r="H17" s="99">
        <f>H99</f>
        <v>2232007</v>
      </c>
    </row>
    <row r="18" spans="1:8" x14ac:dyDescent="0.25">
      <c r="A18" s="176" t="s">
        <v>190</v>
      </c>
      <c r="B18" s="176"/>
      <c r="C18" s="176"/>
      <c r="D18" s="176"/>
      <c r="E18" s="176"/>
      <c r="F18" s="99">
        <f>F15-F16-F17</f>
        <v>299000</v>
      </c>
      <c r="G18" s="99"/>
      <c r="H18" s="99">
        <f>H15-H16-H17</f>
        <v>-650306.79999999935</v>
      </c>
    </row>
    <row r="19" spans="1:8" x14ac:dyDescent="0.25">
      <c r="F19" s="100"/>
      <c r="G19" s="100"/>
      <c r="H19" s="100"/>
    </row>
    <row r="20" spans="1:8" x14ac:dyDescent="0.25">
      <c r="B20" s="170" t="s">
        <v>108</v>
      </c>
      <c r="C20" s="170"/>
      <c r="D20" s="170"/>
      <c r="E20" s="170"/>
      <c r="F20" s="4"/>
      <c r="G20" s="100"/>
      <c r="H20" s="100"/>
    </row>
    <row r="21" spans="1:8" x14ac:dyDescent="0.25">
      <c r="B21" s="162"/>
      <c r="C21" s="162"/>
      <c r="D21" s="162"/>
      <c r="E21" s="162"/>
      <c r="F21" s="4"/>
      <c r="G21" s="100"/>
      <c r="H21" s="100"/>
    </row>
    <row r="22" spans="1:8" ht="38.25" x14ac:dyDescent="0.25">
      <c r="A22" s="175"/>
      <c r="B22" s="175"/>
      <c r="C22" s="175"/>
      <c r="D22" s="175"/>
      <c r="E22" s="175"/>
      <c r="F22" s="141" t="s">
        <v>147</v>
      </c>
      <c r="G22" s="140" t="s">
        <v>200</v>
      </c>
      <c r="H22" s="140" t="s">
        <v>201</v>
      </c>
    </row>
    <row r="23" spans="1:8" x14ac:dyDescent="0.25">
      <c r="A23" s="181" t="s">
        <v>194</v>
      </c>
      <c r="B23" s="181"/>
      <c r="C23" s="181"/>
      <c r="D23" s="181"/>
      <c r="E23" s="181"/>
      <c r="F23" s="99">
        <f>F118</f>
        <v>1000</v>
      </c>
      <c r="G23" s="99">
        <f>G118</f>
        <v>0</v>
      </c>
      <c r="H23" s="99">
        <f>H118</f>
        <v>1000</v>
      </c>
    </row>
    <row r="24" spans="1:8" x14ac:dyDescent="0.25">
      <c r="A24" s="181" t="s">
        <v>195</v>
      </c>
      <c r="B24" s="181"/>
      <c r="C24" s="181"/>
      <c r="D24" s="181"/>
      <c r="E24" s="181"/>
      <c r="F24" s="99">
        <f>F129</f>
        <v>300000</v>
      </c>
      <c r="G24" s="99">
        <f>G129</f>
        <v>0</v>
      </c>
      <c r="H24" s="99">
        <f>H129</f>
        <v>300000</v>
      </c>
    </row>
    <row r="25" spans="1:8" x14ac:dyDescent="0.25">
      <c r="A25" s="181" t="s">
        <v>84</v>
      </c>
      <c r="B25" s="181"/>
      <c r="C25" s="181"/>
      <c r="D25" s="181"/>
      <c r="E25" s="181"/>
      <c r="F25" s="99">
        <f>F23-F24</f>
        <v>-299000</v>
      </c>
      <c r="G25" s="99">
        <f>G23-G24</f>
        <v>0</v>
      </c>
      <c r="H25" s="99">
        <f>H23-H24</f>
        <v>-299000</v>
      </c>
    </row>
    <row r="27" spans="1:8" x14ac:dyDescent="0.25">
      <c r="A27" s="189" t="s">
        <v>206</v>
      </c>
      <c r="B27" s="189"/>
      <c r="C27" s="189"/>
      <c r="D27" s="189"/>
      <c r="E27" s="189"/>
      <c r="F27" s="189"/>
      <c r="G27" s="189"/>
      <c r="H27" s="189"/>
    </row>
    <row r="28" spans="1:8" x14ac:dyDescent="0.25">
      <c r="A28" s="189" t="s">
        <v>207</v>
      </c>
      <c r="B28" s="189"/>
      <c r="C28" s="189"/>
      <c r="D28" s="189"/>
      <c r="E28" s="189"/>
      <c r="F28" s="189"/>
      <c r="G28" s="189"/>
      <c r="H28" s="189"/>
    </row>
    <row r="29" spans="1:8" x14ac:dyDescent="0.25">
      <c r="A29" s="166"/>
      <c r="B29" s="166"/>
      <c r="C29" s="166"/>
      <c r="D29" s="166"/>
      <c r="E29" s="166"/>
      <c r="F29" s="166"/>
      <c r="G29" s="166"/>
      <c r="H29" s="166"/>
    </row>
    <row r="30" spans="1:8" x14ac:dyDescent="0.25">
      <c r="B30" s="173" t="s">
        <v>85</v>
      </c>
      <c r="C30" s="173"/>
      <c r="D30" s="173"/>
      <c r="E30" s="173"/>
      <c r="F30" s="173"/>
      <c r="G30" s="173"/>
      <c r="H30" s="173"/>
    </row>
    <row r="32" spans="1:8" ht="40.5" customHeight="1" x14ac:dyDescent="0.25">
      <c r="A32"/>
      <c r="B32" s="182" t="s">
        <v>202</v>
      </c>
      <c r="C32" s="182"/>
      <c r="D32" s="182"/>
      <c r="E32" s="182"/>
      <c r="F32" s="182"/>
      <c r="G32" s="182"/>
      <c r="H32" s="182"/>
    </row>
    <row r="33" spans="1:8" x14ac:dyDescent="0.25">
      <c r="B33"/>
      <c r="C33"/>
      <c r="D33"/>
      <c r="E33"/>
      <c r="F33"/>
      <c r="G33"/>
      <c r="H33"/>
    </row>
    <row r="34" spans="1:8" x14ac:dyDescent="0.25">
      <c r="B34" s="170" t="s">
        <v>86</v>
      </c>
      <c r="C34" s="170"/>
      <c r="D34" s="170"/>
      <c r="E34" s="170"/>
      <c r="F34" s="5"/>
      <c r="G34"/>
      <c r="H34"/>
    </row>
    <row r="36" spans="1:8" x14ac:dyDescent="0.25">
      <c r="A36" s="183" t="s">
        <v>186</v>
      </c>
      <c r="B36" s="180" t="s">
        <v>0</v>
      </c>
      <c r="C36" s="180"/>
      <c r="D36" s="180"/>
      <c r="E36" s="180"/>
      <c r="F36" s="186" t="s">
        <v>147</v>
      </c>
      <c r="G36" s="177" t="s">
        <v>200</v>
      </c>
      <c r="H36" s="177" t="s">
        <v>201</v>
      </c>
    </row>
    <row r="37" spans="1:8" x14ac:dyDescent="0.25">
      <c r="A37" s="184"/>
      <c r="B37" s="6"/>
      <c r="C37" s="180" t="s">
        <v>87</v>
      </c>
      <c r="D37" s="180"/>
      <c r="E37" s="180"/>
      <c r="F37" s="187"/>
      <c r="G37" s="178"/>
      <c r="H37" s="178"/>
    </row>
    <row r="38" spans="1:8" x14ac:dyDescent="0.25">
      <c r="A38" s="184"/>
      <c r="B38" s="6"/>
      <c r="C38" s="6"/>
      <c r="D38" s="180" t="s">
        <v>88</v>
      </c>
      <c r="E38" s="180"/>
      <c r="F38" s="187"/>
      <c r="G38" s="178"/>
      <c r="H38" s="178"/>
    </row>
    <row r="39" spans="1:8" x14ac:dyDescent="0.25">
      <c r="A39" s="184"/>
      <c r="B39" s="6"/>
      <c r="C39" s="6"/>
      <c r="D39" s="6"/>
      <c r="E39" s="7" t="s">
        <v>89</v>
      </c>
      <c r="F39" s="188"/>
      <c r="G39" s="179"/>
      <c r="H39" s="179"/>
    </row>
    <row r="40" spans="1:8" x14ac:dyDescent="0.25">
      <c r="A40" s="184"/>
      <c r="B40" s="7">
        <v>1</v>
      </c>
      <c r="C40" s="7">
        <v>2</v>
      </c>
      <c r="D40" s="7">
        <v>3</v>
      </c>
      <c r="E40" s="7">
        <v>4</v>
      </c>
      <c r="F40" s="7">
        <v>5</v>
      </c>
      <c r="G40" s="7">
        <v>6</v>
      </c>
      <c r="H40" s="7">
        <v>7</v>
      </c>
    </row>
    <row r="41" spans="1:8" x14ac:dyDescent="0.25">
      <c r="A41" s="185"/>
      <c r="B41" s="8">
        <v>6</v>
      </c>
      <c r="C41" s="8"/>
      <c r="D41" s="8"/>
      <c r="E41" s="8" t="s">
        <v>90</v>
      </c>
      <c r="F41" s="98">
        <f>F42+F46+F51+F54+F58</f>
        <v>4942894.59</v>
      </c>
      <c r="G41" s="98">
        <f t="shared" ref="G41:H41" si="0">G42+G46+G51+G54+G58</f>
        <v>-250719.02999999991</v>
      </c>
      <c r="H41" s="98">
        <f t="shared" si="0"/>
        <v>4692175.5600000005</v>
      </c>
    </row>
    <row r="42" spans="1:8" x14ac:dyDescent="0.25">
      <c r="A42" s="137"/>
      <c r="B42" s="8"/>
      <c r="C42" s="8">
        <v>61</v>
      </c>
      <c r="D42" s="8"/>
      <c r="E42" s="8" t="s">
        <v>91</v>
      </c>
      <c r="F42" s="98">
        <f>F43+F44+F45</f>
        <v>2274200</v>
      </c>
      <c r="G42" s="98">
        <f t="shared" ref="G42:H42" si="1">G43+G44+G45</f>
        <v>-13200</v>
      </c>
      <c r="H42" s="98">
        <f t="shared" si="1"/>
        <v>2261000</v>
      </c>
    </row>
    <row r="43" spans="1:8" x14ac:dyDescent="0.25">
      <c r="A43" s="138" t="s">
        <v>158</v>
      </c>
      <c r="B43" s="10"/>
      <c r="C43" s="10"/>
      <c r="D43" s="10">
        <v>611</v>
      </c>
      <c r="E43" s="13" t="s">
        <v>185</v>
      </c>
      <c r="F43" s="68">
        <f>240000+1800000+4000+170000</f>
        <v>2214000</v>
      </c>
      <c r="G43" s="68"/>
      <c r="H43" s="68">
        <f>F43+G43</f>
        <v>2214000</v>
      </c>
    </row>
    <row r="44" spans="1:8" x14ac:dyDescent="0.25">
      <c r="A44" s="138" t="s">
        <v>158</v>
      </c>
      <c r="B44" s="10"/>
      <c r="C44" s="10"/>
      <c r="D44" s="10">
        <v>613</v>
      </c>
      <c r="E44" s="10" t="s">
        <v>92</v>
      </c>
      <c r="F44" s="68">
        <f>40000+12000</f>
        <v>52000</v>
      </c>
      <c r="G44" s="68">
        <v>-12000</v>
      </c>
      <c r="H44" s="68">
        <f t="shared" ref="H44:H45" si="2">F44+G44</f>
        <v>40000</v>
      </c>
    </row>
    <row r="45" spans="1:8" x14ac:dyDescent="0.25">
      <c r="A45" s="138" t="s">
        <v>158</v>
      </c>
      <c r="B45" s="10"/>
      <c r="C45" s="10"/>
      <c r="D45" s="10">
        <v>614</v>
      </c>
      <c r="E45" s="10" t="s">
        <v>93</v>
      </c>
      <c r="F45" s="68">
        <f>7000+1200</f>
        <v>8200</v>
      </c>
      <c r="G45" s="68">
        <v>-1200</v>
      </c>
      <c r="H45" s="68">
        <f t="shared" si="2"/>
        <v>7000</v>
      </c>
    </row>
    <row r="46" spans="1:8" ht="26.25" x14ac:dyDescent="0.25">
      <c r="A46" s="138"/>
      <c r="B46" s="8"/>
      <c r="C46" s="8">
        <v>63</v>
      </c>
      <c r="D46" s="8"/>
      <c r="E46" s="12" t="s">
        <v>94</v>
      </c>
      <c r="F46" s="98">
        <f>F47+F49+F50+F48</f>
        <v>1263061.01</v>
      </c>
      <c r="G46" s="98">
        <f t="shared" ref="G46:H46" si="3">G47+G49+G50+G48</f>
        <v>-610326.80999999994</v>
      </c>
      <c r="H46" s="98">
        <f t="shared" si="3"/>
        <v>652734.20000000007</v>
      </c>
    </row>
    <row r="47" spans="1:8" x14ac:dyDescent="0.25">
      <c r="A47" s="138" t="s">
        <v>166</v>
      </c>
      <c r="B47" s="10"/>
      <c r="C47" s="10"/>
      <c r="D47" s="10">
        <v>633</v>
      </c>
      <c r="E47" s="10" t="s">
        <v>95</v>
      </c>
      <c r="F47" s="68">
        <f>10450+116223.01+140000+49000+550000+10706+200000+24000+40000</f>
        <v>1140379.01</v>
      </c>
      <c r="G47" s="68">
        <f>-116223.01+201-550000-2-10706</f>
        <v>-676730.01</v>
      </c>
      <c r="H47" s="68">
        <f>F47+G47</f>
        <v>463649</v>
      </c>
    </row>
    <row r="48" spans="1:8" x14ac:dyDescent="0.25">
      <c r="A48" s="138" t="s">
        <v>166</v>
      </c>
      <c r="B48" s="10"/>
      <c r="C48" s="10"/>
      <c r="D48" s="10">
        <v>634</v>
      </c>
      <c r="E48" s="80" t="s">
        <v>96</v>
      </c>
      <c r="F48" s="68">
        <f>7315+75367</f>
        <v>82682</v>
      </c>
      <c r="G48" s="157">
        <f>-75367+6745.88</f>
        <v>-68621.119999999995</v>
      </c>
      <c r="H48" s="68">
        <f t="shared" ref="H48:H50" si="4">F48+G48</f>
        <v>14060.880000000005</v>
      </c>
    </row>
    <row r="49" spans="1:8" ht="26.25" x14ac:dyDescent="0.25">
      <c r="A49" s="138" t="s">
        <v>166</v>
      </c>
      <c r="B49" s="10"/>
      <c r="C49" s="10"/>
      <c r="D49" s="10">
        <v>635</v>
      </c>
      <c r="E49" s="13" t="s">
        <v>97</v>
      </c>
      <c r="F49" s="68">
        <v>40000</v>
      </c>
      <c r="G49" s="68"/>
      <c r="H49" s="68">
        <f t="shared" si="4"/>
        <v>40000</v>
      </c>
    </row>
    <row r="50" spans="1:8" x14ac:dyDescent="0.25">
      <c r="A50" s="138"/>
      <c r="B50" s="10"/>
      <c r="C50" s="10"/>
      <c r="D50" s="10">
        <v>638</v>
      </c>
      <c r="E50" s="13" t="s">
        <v>211</v>
      </c>
      <c r="F50" s="68"/>
      <c r="G50" s="68">
        <v>135024.32000000001</v>
      </c>
      <c r="H50" s="68">
        <f t="shared" si="4"/>
        <v>135024.32000000001</v>
      </c>
    </row>
    <row r="51" spans="1:8" x14ac:dyDescent="0.25">
      <c r="A51" s="138"/>
      <c r="B51" s="8"/>
      <c r="C51" s="8">
        <v>64</v>
      </c>
      <c r="D51" s="8"/>
      <c r="E51" s="8" t="s">
        <v>98</v>
      </c>
      <c r="F51" s="98">
        <f>F52+F53</f>
        <v>1144133.58</v>
      </c>
      <c r="G51" s="98">
        <f t="shared" ref="G51:H51" si="5">G52+G53</f>
        <v>372807.78</v>
      </c>
      <c r="H51" s="98">
        <f t="shared" si="5"/>
        <v>1516941.36</v>
      </c>
    </row>
    <row r="52" spans="1:8" x14ac:dyDescent="0.25">
      <c r="A52" s="138" t="s">
        <v>158</v>
      </c>
      <c r="B52" s="10"/>
      <c r="C52" s="10"/>
      <c r="D52" s="10">
        <v>642</v>
      </c>
      <c r="E52" s="10" t="s">
        <v>99</v>
      </c>
      <c r="F52" s="68">
        <f>6000+100+6000+6500+1077081.8+100+5000+123+27728.78+15000</f>
        <v>1143633.58</v>
      </c>
      <c r="G52" s="68">
        <f>380716.78-8588+679</f>
        <v>372807.78</v>
      </c>
      <c r="H52" s="68">
        <f>F52+G52</f>
        <v>1516441.36</v>
      </c>
    </row>
    <row r="53" spans="1:8" x14ac:dyDescent="0.25">
      <c r="A53" s="138" t="s">
        <v>158</v>
      </c>
      <c r="B53" s="10"/>
      <c r="C53" s="10"/>
      <c r="D53" s="10">
        <v>643</v>
      </c>
      <c r="E53" s="10" t="s">
        <v>100</v>
      </c>
      <c r="F53" s="68">
        <v>500</v>
      </c>
      <c r="G53" s="68"/>
      <c r="H53" s="68">
        <f>F53+G53</f>
        <v>500</v>
      </c>
    </row>
    <row r="54" spans="1:8" ht="39" x14ac:dyDescent="0.25">
      <c r="A54" s="138"/>
      <c r="B54" s="8"/>
      <c r="C54" s="8">
        <v>65</v>
      </c>
      <c r="D54" s="8"/>
      <c r="E54" s="14" t="s">
        <v>101</v>
      </c>
      <c r="F54" s="98">
        <f>F55+F56+F57</f>
        <v>259500</v>
      </c>
      <c r="G54" s="98">
        <f t="shared" ref="G54:H54" si="6">G55+G56+G57</f>
        <v>0</v>
      </c>
      <c r="H54" s="98">
        <f t="shared" si="6"/>
        <v>259500</v>
      </c>
    </row>
    <row r="55" spans="1:8" x14ac:dyDescent="0.25">
      <c r="A55" s="138" t="s">
        <v>158</v>
      </c>
      <c r="B55" s="10"/>
      <c r="C55" s="10"/>
      <c r="D55" s="10">
        <v>651</v>
      </c>
      <c r="E55" s="10" t="s">
        <v>102</v>
      </c>
      <c r="F55" s="68">
        <v>500</v>
      </c>
      <c r="G55" s="68"/>
      <c r="H55" s="68">
        <f>F55+G55</f>
        <v>500</v>
      </c>
    </row>
    <row r="56" spans="1:8" x14ac:dyDescent="0.25">
      <c r="A56" s="138" t="s">
        <v>187</v>
      </c>
      <c r="B56" s="10"/>
      <c r="C56" s="10"/>
      <c r="D56" s="10">
        <v>652</v>
      </c>
      <c r="E56" s="10" t="s">
        <v>103</v>
      </c>
      <c r="F56" s="68">
        <f>6000+30000+51000</f>
        <v>87000</v>
      </c>
      <c r="G56" s="68"/>
      <c r="H56" s="68">
        <f t="shared" ref="H56:H57" si="7">F56+G56</f>
        <v>87000</v>
      </c>
    </row>
    <row r="57" spans="1:8" x14ac:dyDescent="0.25">
      <c r="A57" s="138" t="s">
        <v>164</v>
      </c>
      <c r="B57" s="10"/>
      <c r="C57" s="10"/>
      <c r="D57" s="10">
        <v>653</v>
      </c>
      <c r="E57" s="10" t="s">
        <v>104</v>
      </c>
      <c r="F57" s="68">
        <f>2000+170000</f>
        <v>172000</v>
      </c>
      <c r="G57" s="68"/>
      <c r="H57" s="68">
        <f t="shared" si="7"/>
        <v>172000</v>
      </c>
    </row>
    <row r="58" spans="1:8" x14ac:dyDescent="0.25">
      <c r="A58" s="138"/>
      <c r="B58" s="10"/>
      <c r="C58" s="8">
        <v>68</v>
      </c>
      <c r="D58" s="10"/>
      <c r="E58" s="8" t="s">
        <v>148</v>
      </c>
      <c r="F58" s="98">
        <f>F59</f>
        <v>2000</v>
      </c>
      <c r="G58" s="98">
        <f t="shared" ref="G58:H58" si="8">G59</f>
        <v>0</v>
      </c>
      <c r="H58" s="98">
        <f t="shared" si="8"/>
        <v>2000</v>
      </c>
    </row>
    <row r="59" spans="1:8" x14ac:dyDescent="0.25">
      <c r="A59" s="138" t="s">
        <v>158</v>
      </c>
      <c r="B59" s="10"/>
      <c r="C59" s="10"/>
      <c r="D59" s="10">
        <v>683</v>
      </c>
      <c r="E59" s="10" t="s">
        <v>149</v>
      </c>
      <c r="F59" s="68">
        <v>2000</v>
      </c>
      <c r="G59" s="68"/>
      <c r="H59" s="68">
        <f>F59+G59</f>
        <v>2000</v>
      </c>
    </row>
    <row r="60" spans="1:8" x14ac:dyDescent="0.25">
      <c r="B60" s="15"/>
      <c r="C60" s="15"/>
      <c r="D60" s="15"/>
      <c r="E60" s="15"/>
      <c r="F60" s="101"/>
      <c r="G60" s="101"/>
      <c r="H60" s="101"/>
    </row>
    <row r="62" spans="1:8" x14ac:dyDescent="0.25">
      <c r="B62" s="170" t="s">
        <v>6</v>
      </c>
      <c r="C62" s="170"/>
      <c r="D62" s="170"/>
      <c r="E62" s="170"/>
      <c r="F62" s="5"/>
      <c r="G62"/>
      <c r="H62"/>
    </row>
    <row r="64" spans="1:8" ht="15" customHeight="1" x14ac:dyDescent="0.25">
      <c r="A64" s="190" t="s">
        <v>186</v>
      </c>
      <c r="B64" s="180" t="s">
        <v>0</v>
      </c>
      <c r="C64" s="180"/>
      <c r="D64" s="180"/>
      <c r="E64" s="180"/>
      <c r="F64" s="186" t="s">
        <v>147</v>
      </c>
      <c r="G64" s="177" t="s">
        <v>200</v>
      </c>
      <c r="H64" s="177" t="s">
        <v>201</v>
      </c>
    </row>
    <row r="65" spans="1:8" x14ac:dyDescent="0.25">
      <c r="A65" s="190"/>
      <c r="B65" s="6"/>
      <c r="C65" s="180" t="s">
        <v>87</v>
      </c>
      <c r="D65" s="180"/>
      <c r="E65" s="180"/>
      <c r="F65" s="187"/>
      <c r="G65" s="178"/>
      <c r="H65" s="178"/>
    </row>
    <row r="66" spans="1:8" x14ac:dyDescent="0.25">
      <c r="A66" s="190"/>
      <c r="B66" s="6"/>
      <c r="C66" s="6"/>
      <c r="D66" s="180" t="s">
        <v>88</v>
      </c>
      <c r="E66" s="180"/>
      <c r="F66" s="187"/>
      <c r="G66" s="178"/>
      <c r="H66" s="178"/>
    </row>
    <row r="67" spans="1:8" x14ac:dyDescent="0.25">
      <c r="A67" s="190"/>
      <c r="B67" s="6"/>
      <c r="C67" s="6"/>
      <c r="D67" s="6"/>
      <c r="E67" s="7" t="s">
        <v>89</v>
      </c>
      <c r="F67" s="188"/>
      <c r="G67" s="179"/>
      <c r="H67" s="179"/>
    </row>
    <row r="68" spans="1:8" x14ac:dyDescent="0.25">
      <c r="A68" s="190"/>
      <c r="B68" s="7">
        <v>1</v>
      </c>
      <c r="C68" s="7">
        <v>2</v>
      </c>
      <c r="D68" s="7">
        <v>3</v>
      </c>
      <c r="E68" s="7">
        <v>4</v>
      </c>
      <c r="F68" s="7">
        <v>5</v>
      </c>
      <c r="G68" s="7">
        <v>6</v>
      </c>
      <c r="H68" s="7">
        <v>7</v>
      </c>
    </row>
    <row r="69" spans="1:8" x14ac:dyDescent="0.25">
      <c r="A69" s="138"/>
      <c r="B69" s="8">
        <v>3</v>
      </c>
      <c r="C69" s="8"/>
      <c r="D69" s="8"/>
      <c r="E69" s="8" t="s">
        <v>49</v>
      </c>
      <c r="F69" s="9">
        <f>F70+F74+F80+F83+F85+F87+F89</f>
        <v>3089056.59</v>
      </c>
      <c r="G69" s="105">
        <f>G70+G74+G80+G83+G85+G87+G89</f>
        <v>21418.769999999997</v>
      </c>
      <c r="H69" s="9">
        <f>H70+H74+H80+H83+H85+H87+H89</f>
        <v>3110475.36</v>
      </c>
    </row>
    <row r="70" spans="1:8" x14ac:dyDescent="0.25">
      <c r="A70" s="138"/>
      <c r="B70" s="8"/>
      <c r="C70" s="8">
        <v>31</v>
      </c>
      <c r="D70" s="8"/>
      <c r="E70" s="8" t="s">
        <v>7</v>
      </c>
      <c r="F70" s="9">
        <f>F71+F72+F73</f>
        <v>1147048.27</v>
      </c>
      <c r="G70" s="105">
        <f t="shared" ref="G70:H70" si="9">G71+G72+G73</f>
        <v>-29745.190000000002</v>
      </c>
      <c r="H70" s="9">
        <f t="shared" si="9"/>
        <v>1117303.0799999998</v>
      </c>
    </row>
    <row r="71" spans="1:8" x14ac:dyDescent="0.25">
      <c r="A71" s="138" t="s">
        <v>188</v>
      </c>
      <c r="B71" s="10"/>
      <c r="C71" s="10"/>
      <c r="D71" s="10">
        <v>311</v>
      </c>
      <c r="E71" s="10" t="s">
        <v>105</v>
      </c>
      <c r="F71" s="68">
        <f>109643.84+192800+61917+521000+82555.2-20000-5000</f>
        <v>942916.03999999992</v>
      </c>
      <c r="G71" s="157">
        <f>12280+11300-52580.4+7444.8</f>
        <v>-21555.600000000002</v>
      </c>
      <c r="H71" s="68">
        <f>F71+G71</f>
        <v>921360.44</v>
      </c>
    </row>
    <row r="72" spans="1:8" x14ac:dyDescent="0.25">
      <c r="A72" s="138" t="s">
        <v>158</v>
      </c>
      <c r="B72" s="10"/>
      <c r="C72" s="10"/>
      <c r="D72" s="10">
        <v>312</v>
      </c>
      <c r="E72" s="10" t="s">
        <v>9</v>
      </c>
      <c r="F72" s="68">
        <f>14150+23500</f>
        <v>37650</v>
      </c>
      <c r="G72" s="157">
        <v>2400</v>
      </c>
      <c r="H72" s="68">
        <f t="shared" ref="H72:H73" si="10">F72+G72</f>
        <v>40050</v>
      </c>
    </row>
    <row r="73" spans="1:8" x14ac:dyDescent="0.25">
      <c r="A73" s="138" t="s">
        <v>188</v>
      </c>
      <c r="B73" s="10"/>
      <c r="C73" s="10"/>
      <c r="D73" s="10">
        <v>313</v>
      </c>
      <c r="E73" s="10" t="s">
        <v>10</v>
      </c>
      <c r="F73" s="68">
        <f>18858.74+33162+10650+89612+14199.49</f>
        <v>166482.22999999998</v>
      </c>
      <c r="G73" s="157">
        <f>-2819+623-9044.1+650.51</f>
        <v>-10589.59</v>
      </c>
      <c r="H73" s="68">
        <f t="shared" si="10"/>
        <v>155892.63999999998</v>
      </c>
    </row>
    <row r="74" spans="1:8" x14ac:dyDescent="0.25">
      <c r="A74" s="138"/>
      <c r="B74" s="8"/>
      <c r="C74" s="8">
        <v>32</v>
      </c>
      <c r="D74" s="8"/>
      <c r="E74" s="8" t="s">
        <v>11</v>
      </c>
      <c r="F74" s="98">
        <f>F75+F76+F77+F78+F79</f>
        <v>1205476.32</v>
      </c>
      <c r="G74" s="161">
        <f t="shared" ref="G74:H74" si="11">G75+G76+G77+G78+G79</f>
        <v>34312.959999999999</v>
      </c>
      <c r="H74" s="98">
        <f t="shared" si="11"/>
        <v>1239789.28</v>
      </c>
    </row>
    <row r="75" spans="1:8" x14ac:dyDescent="0.25">
      <c r="A75" s="138" t="s">
        <v>188</v>
      </c>
      <c r="B75" s="10"/>
      <c r="C75" s="10"/>
      <c r="D75" s="10">
        <v>321</v>
      </c>
      <c r="E75" s="10" t="s">
        <v>12</v>
      </c>
      <c r="F75" s="68">
        <f>25314+27317+2800+14668.32</f>
        <v>70099.320000000007</v>
      </c>
      <c r="G75" s="157">
        <v>-2376.04</v>
      </c>
      <c r="H75" s="68">
        <f>F75+G75</f>
        <v>67723.280000000013</v>
      </c>
    </row>
    <row r="76" spans="1:8" x14ac:dyDescent="0.25">
      <c r="A76" s="138" t="s">
        <v>187</v>
      </c>
      <c r="B76" s="10"/>
      <c r="C76" s="10"/>
      <c r="D76" s="10">
        <v>322</v>
      </c>
      <c r="E76" s="10" t="s">
        <v>22</v>
      </c>
      <c r="F76" s="68">
        <f>67000+1700+1700+36000+6000+6500+100000+20000+4800+5000</f>
        <v>248700</v>
      </c>
      <c r="G76" s="157">
        <f>5000+1300-1700-35000-3000</f>
        <v>-33400</v>
      </c>
      <c r="H76" s="68">
        <f t="shared" ref="H76:H79" si="12">F76+G76</f>
        <v>215300</v>
      </c>
    </row>
    <row r="77" spans="1:8" ht="21" customHeight="1" x14ac:dyDescent="0.25">
      <c r="A77" s="167" t="s">
        <v>189</v>
      </c>
      <c r="B77" s="10"/>
      <c r="C77" s="10"/>
      <c r="D77" s="10">
        <v>323</v>
      </c>
      <c r="E77" s="10" t="s">
        <v>13</v>
      </c>
      <c r="F77" s="68">
        <f>10000+157470+30000+8500+20000+7000+150000+96000+10856+5000+70000+40000+95079+25000+50000+7000+20000+60000+1700+15000-6600-10000-2500-10400-15000-10000+5000</f>
        <v>829105</v>
      </c>
      <c r="G77" s="157">
        <f>10000+19498+10000+10000+1000+5250+7274+5400+14125-60000+15000-15005</f>
        <v>22542</v>
      </c>
      <c r="H77" s="68">
        <f t="shared" si="12"/>
        <v>851647</v>
      </c>
    </row>
    <row r="78" spans="1:8" x14ac:dyDescent="0.25">
      <c r="A78" s="138" t="s">
        <v>166</v>
      </c>
      <c r="B78" s="10"/>
      <c r="C78" s="10"/>
      <c r="D78" s="10">
        <v>324</v>
      </c>
      <c r="E78" s="10" t="s">
        <v>106</v>
      </c>
      <c r="F78" s="68">
        <f>9144</f>
        <v>9144</v>
      </c>
      <c r="G78" s="157">
        <v>916</v>
      </c>
      <c r="H78" s="68">
        <f t="shared" si="12"/>
        <v>10060</v>
      </c>
    </row>
    <row r="79" spans="1:8" x14ac:dyDescent="0.25">
      <c r="A79" s="138" t="s">
        <v>158</v>
      </c>
      <c r="B79" s="10"/>
      <c r="C79" s="10"/>
      <c r="D79" s="10">
        <v>329</v>
      </c>
      <c r="E79" s="10" t="s">
        <v>14</v>
      </c>
      <c r="F79" s="68">
        <f>25000+12080+3348+4000+4000</f>
        <v>48428</v>
      </c>
      <c r="G79" s="157">
        <f>4631+1000+41000</f>
        <v>46631</v>
      </c>
      <c r="H79" s="68">
        <f t="shared" si="12"/>
        <v>95059</v>
      </c>
    </row>
    <row r="80" spans="1:8" x14ac:dyDescent="0.25">
      <c r="A80" s="138"/>
      <c r="B80" s="8"/>
      <c r="C80" s="8">
        <v>34</v>
      </c>
      <c r="D80" s="8"/>
      <c r="E80" s="8" t="s">
        <v>23</v>
      </c>
      <c r="F80" s="98">
        <f>F82+F81</f>
        <v>72922</v>
      </c>
      <c r="G80" s="161">
        <f t="shared" ref="G80:H80" si="13">G82+G81</f>
        <v>501</v>
      </c>
      <c r="H80" s="98">
        <f t="shared" si="13"/>
        <v>73423</v>
      </c>
    </row>
    <row r="81" spans="1:8" x14ac:dyDescent="0.25">
      <c r="A81" s="138" t="s">
        <v>158</v>
      </c>
      <c r="B81" s="8"/>
      <c r="C81" s="8"/>
      <c r="D81" s="10">
        <v>342</v>
      </c>
      <c r="E81" s="10" t="s">
        <v>69</v>
      </c>
      <c r="F81" s="68">
        <f>64166</f>
        <v>64166</v>
      </c>
      <c r="G81" s="157"/>
      <c r="H81" s="68">
        <f>F81+G81</f>
        <v>64166</v>
      </c>
    </row>
    <row r="82" spans="1:8" x14ac:dyDescent="0.25">
      <c r="A82" s="138" t="s">
        <v>158</v>
      </c>
      <c r="B82" s="10"/>
      <c r="C82" s="10"/>
      <c r="D82" s="10">
        <v>343</v>
      </c>
      <c r="E82" s="10" t="s">
        <v>24</v>
      </c>
      <c r="F82" s="68">
        <f>8756</f>
        <v>8756</v>
      </c>
      <c r="G82" s="157">
        <f>1+500</f>
        <v>501</v>
      </c>
      <c r="H82" s="68">
        <f>F82+G82</f>
        <v>9257</v>
      </c>
    </row>
    <row r="83" spans="1:8" x14ac:dyDescent="0.25">
      <c r="A83" s="138"/>
      <c r="B83" s="8"/>
      <c r="C83" s="8">
        <v>35</v>
      </c>
      <c r="D83" s="8"/>
      <c r="E83" s="8" t="s">
        <v>38</v>
      </c>
      <c r="F83" s="98">
        <f>F84</f>
        <v>160000</v>
      </c>
      <c r="G83" s="161">
        <f t="shared" ref="G83:H83" si="14">G84</f>
        <v>0</v>
      </c>
      <c r="H83" s="98">
        <f t="shared" si="14"/>
        <v>160000</v>
      </c>
    </row>
    <row r="84" spans="1:8" ht="26.25" x14ac:dyDescent="0.25">
      <c r="A84" s="138" t="s">
        <v>158</v>
      </c>
      <c r="B84" s="10"/>
      <c r="C84" s="10"/>
      <c r="D84" s="10">
        <v>352</v>
      </c>
      <c r="E84" s="13" t="s">
        <v>141</v>
      </c>
      <c r="F84" s="68">
        <f>155000+5000</f>
        <v>160000</v>
      </c>
      <c r="G84" s="157"/>
      <c r="H84" s="68">
        <f>F84+G84</f>
        <v>160000</v>
      </c>
    </row>
    <row r="85" spans="1:8" ht="26.25" x14ac:dyDescent="0.25">
      <c r="A85" s="138"/>
      <c r="B85" s="8"/>
      <c r="C85" s="8">
        <v>36</v>
      </c>
      <c r="D85" s="8"/>
      <c r="E85" s="14" t="s">
        <v>33</v>
      </c>
      <c r="F85" s="98">
        <f>F86</f>
        <v>49000</v>
      </c>
      <c r="G85" s="161">
        <f t="shared" ref="G85:H85" si="15">G86</f>
        <v>2000</v>
      </c>
      <c r="H85" s="98">
        <f t="shared" si="15"/>
        <v>51000</v>
      </c>
    </row>
    <row r="86" spans="1:8" x14ac:dyDescent="0.25">
      <c r="A86" s="138" t="s">
        <v>188</v>
      </c>
      <c r="B86" s="10"/>
      <c r="C86" s="10"/>
      <c r="D86" s="10">
        <v>363</v>
      </c>
      <c r="E86" s="10" t="s">
        <v>34</v>
      </c>
      <c r="F86" s="68">
        <f>40000+9000</f>
        <v>49000</v>
      </c>
      <c r="G86" s="157">
        <v>2000</v>
      </c>
      <c r="H86" s="68">
        <f>F86+G86</f>
        <v>51000</v>
      </c>
    </row>
    <row r="87" spans="1:8" x14ac:dyDescent="0.25">
      <c r="A87" s="138"/>
      <c r="B87" s="8"/>
      <c r="C87" s="8">
        <v>37</v>
      </c>
      <c r="D87" s="8"/>
      <c r="E87" s="8" t="s">
        <v>45</v>
      </c>
      <c r="F87" s="98">
        <f>F88</f>
        <v>207510</v>
      </c>
      <c r="G87" s="161">
        <f t="shared" ref="G87:H87" si="16">G88</f>
        <v>1699</v>
      </c>
      <c r="H87" s="98">
        <f t="shared" si="16"/>
        <v>209209</v>
      </c>
    </row>
    <row r="88" spans="1:8" ht="26.25" x14ac:dyDescent="0.25">
      <c r="A88" s="138" t="s">
        <v>188</v>
      </c>
      <c r="B88" s="10"/>
      <c r="C88" s="10"/>
      <c r="D88" s="10">
        <v>372</v>
      </c>
      <c r="E88" s="13" t="s">
        <v>75</v>
      </c>
      <c r="F88" s="68">
        <f>10000+44000+54000+52510+27000+15000+5000</f>
        <v>207510</v>
      </c>
      <c r="G88" s="157">
        <f>1699</f>
        <v>1699</v>
      </c>
      <c r="H88" s="68">
        <f>F88+G88</f>
        <v>209209</v>
      </c>
    </row>
    <row r="89" spans="1:8" x14ac:dyDescent="0.25">
      <c r="A89" s="138"/>
      <c r="B89" s="8"/>
      <c r="C89" s="8">
        <v>38</v>
      </c>
      <c r="D89" s="8"/>
      <c r="E89" s="8" t="s">
        <v>15</v>
      </c>
      <c r="F89" s="98">
        <f>F90</f>
        <v>247100</v>
      </c>
      <c r="G89" s="161">
        <f t="shared" ref="G89:H89" si="17">G90</f>
        <v>12651</v>
      </c>
      <c r="H89" s="98">
        <f t="shared" si="17"/>
        <v>259751</v>
      </c>
    </row>
    <row r="90" spans="1:8" x14ac:dyDescent="0.25">
      <c r="A90" s="138" t="s">
        <v>158</v>
      </c>
      <c r="B90" s="10"/>
      <c r="C90" s="10"/>
      <c r="D90" s="10">
        <v>381</v>
      </c>
      <c r="E90" s="10" t="s">
        <v>31</v>
      </c>
      <c r="F90" s="68">
        <f>13000+3000+56000+1000+5000+5000+77000+29000+13000+5000+4000+1600+6600+2500+10400+15000</f>
        <v>247100</v>
      </c>
      <c r="G90" s="157">
        <v>12651</v>
      </c>
      <c r="H90" s="68">
        <f>F90+G90</f>
        <v>259751</v>
      </c>
    </row>
    <row r="92" spans="1:8" x14ac:dyDescent="0.25">
      <c r="B92" s="170" t="s">
        <v>40</v>
      </c>
      <c r="C92" s="170"/>
      <c r="D92" s="170"/>
      <c r="E92" s="170"/>
      <c r="F92" s="5"/>
      <c r="G92"/>
      <c r="H92"/>
    </row>
    <row r="94" spans="1:8" ht="15" customHeight="1" x14ac:dyDescent="0.25">
      <c r="A94" s="191" t="s">
        <v>186</v>
      </c>
      <c r="B94" s="180" t="s">
        <v>0</v>
      </c>
      <c r="C94" s="180"/>
      <c r="D94" s="180"/>
      <c r="E94" s="180"/>
      <c r="F94" s="186" t="s">
        <v>147</v>
      </c>
      <c r="G94" s="177" t="s">
        <v>200</v>
      </c>
      <c r="H94" s="177" t="s">
        <v>201</v>
      </c>
    </row>
    <row r="95" spans="1:8" x14ac:dyDescent="0.25">
      <c r="A95" s="191"/>
      <c r="B95" s="6"/>
      <c r="C95" s="180" t="s">
        <v>87</v>
      </c>
      <c r="D95" s="180"/>
      <c r="E95" s="180"/>
      <c r="F95" s="187"/>
      <c r="G95" s="178"/>
      <c r="H95" s="178"/>
    </row>
    <row r="96" spans="1:8" x14ac:dyDescent="0.25">
      <c r="A96" s="191"/>
      <c r="B96" s="6"/>
      <c r="C96" s="6"/>
      <c r="D96" s="180" t="s">
        <v>88</v>
      </c>
      <c r="E96" s="180"/>
      <c r="F96" s="187"/>
      <c r="G96" s="178"/>
      <c r="H96" s="178"/>
    </row>
    <row r="97" spans="1:13" x14ac:dyDescent="0.25">
      <c r="A97" s="191"/>
      <c r="B97" s="6"/>
      <c r="C97" s="6"/>
      <c r="D97" s="6"/>
      <c r="E97" s="7" t="s">
        <v>89</v>
      </c>
      <c r="F97" s="188"/>
      <c r="G97" s="179"/>
      <c r="H97" s="179"/>
    </row>
    <row r="98" spans="1:13" x14ac:dyDescent="0.25">
      <c r="A98" s="138"/>
      <c r="B98" s="7">
        <v>1</v>
      </c>
      <c r="C98" s="7">
        <v>2</v>
      </c>
      <c r="D98" s="7">
        <v>3</v>
      </c>
      <c r="E98" s="7">
        <v>4</v>
      </c>
      <c r="F98" s="7">
        <v>5</v>
      </c>
      <c r="G98" s="7">
        <v>6</v>
      </c>
      <c r="H98" s="7">
        <v>7</v>
      </c>
      <c r="K98" s="106"/>
      <c r="L98" s="106"/>
      <c r="M98" s="106"/>
    </row>
    <row r="99" spans="1:13" x14ac:dyDescent="0.25">
      <c r="A99" s="138"/>
      <c r="B99" s="8">
        <v>4</v>
      </c>
      <c r="C99" s="8"/>
      <c r="D99" s="8"/>
      <c r="E99" s="8" t="s">
        <v>51</v>
      </c>
      <c r="F99" s="98">
        <f>F103+F100</f>
        <v>1554838</v>
      </c>
      <c r="G99" s="161">
        <f t="shared" ref="G99" si="18">G103+G100</f>
        <v>677169</v>
      </c>
      <c r="H99" s="98">
        <f>H103+H100</f>
        <v>2232007</v>
      </c>
      <c r="K99" s="106"/>
      <c r="L99" s="106"/>
      <c r="M99" s="106"/>
    </row>
    <row r="100" spans="1:13" ht="26.25" x14ac:dyDescent="0.25">
      <c r="A100" s="138"/>
      <c r="B100" s="8"/>
      <c r="C100" s="8">
        <v>41</v>
      </c>
      <c r="D100" s="8"/>
      <c r="E100" s="14" t="s">
        <v>53</v>
      </c>
      <c r="F100" s="98">
        <f>F101+F102</f>
        <v>10000</v>
      </c>
      <c r="G100" s="161">
        <f t="shared" ref="G100:H100" si="19">G101+G102</f>
        <v>-10000</v>
      </c>
      <c r="H100" s="98">
        <f t="shared" si="19"/>
        <v>0</v>
      </c>
    </row>
    <row r="101" spans="1:13" x14ac:dyDescent="0.25">
      <c r="A101" s="138"/>
      <c r="B101" s="10"/>
      <c r="C101" s="10"/>
      <c r="D101" s="10">
        <v>411</v>
      </c>
      <c r="E101" s="10" t="s">
        <v>107</v>
      </c>
      <c r="F101" s="68"/>
      <c r="G101" s="157"/>
      <c r="H101" s="68"/>
    </row>
    <row r="102" spans="1:13" x14ac:dyDescent="0.25">
      <c r="A102" s="138" t="s">
        <v>158</v>
      </c>
      <c r="B102" s="10"/>
      <c r="C102" s="10"/>
      <c r="D102" s="10">
        <v>412</v>
      </c>
      <c r="E102" s="10" t="s">
        <v>54</v>
      </c>
      <c r="F102" s="68">
        <f>10000</f>
        <v>10000</v>
      </c>
      <c r="G102" s="157">
        <v>-10000</v>
      </c>
      <c r="H102" s="68">
        <f>F102+G102</f>
        <v>0</v>
      </c>
    </row>
    <row r="103" spans="1:13" ht="26.25" x14ac:dyDescent="0.25">
      <c r="A103" s="138"/>
      <c r="B103" s="8"/>
      <c r="C103" s="8">
        <v>42</v>
      </c>
      <c r="D103" s="8"/>
      <c r="E103" s="14" t="s">
        <v>41</v>
      </c>
      <c r="F103" s="98">
        <f>F104+F105+F106+F107</f>
        <v>1544838</v>
      </c>
      <c r="G103" s="161">
        <f t="shared" ref="G103" si="20">G104+G105+G106+G107</f>
        <v>687169</v>
      </c>
      <c r="H103" s="98">
        <f>H104+H105+H106+H107</f>
        <v>2232007</v>
      </c>
    </row>
    <row r="104" spans="1:13" x14ac:dyDescent="0.25">
      <c r="A104" s="138" t="s">
        <v>188</v>
      </c>
      <c r="B104" s="10"/>
      <c r="C104" s="10"/>
      <c r="D104" s="10">
        <v>421</v>
      </c>
      <c r="E104" s="10" t="s">
        <v>52</v>
      </c>
      <c r="F104" s="68">
        <f>481250+497500+179000+8588</f>
        <v>1166338</v>
      </c>
      <c r="G104" s="157">
        <f>584775-8588+684</f>
        <v>576871</v>
      </c>
      <c r="H104" s="68">
        <f>F104+G104</f>
        <v>1743209</v>
      </c>
    </row>
    <row r="105" spans="1:13" x14ac:dyDescent="0.25">
      <c r="A105" s="138" t="s">
        <v>188</v>
      </c>
      <c r="B105" s="10"/>
      <c r="C105" s="10"/>
      <c r="D105" s="10">
        <v>422</v>
      </c>
      <c r="E105" s="10" t="s">
        <v>68</v>
      </c>
      <c r="F105" s="68">
        <f>13500+20000+70000+140000+105000+10000+20000</f>
        <v>378500</v>
      </c>
      <c r="G105" s="157">
        <f>35000-1199-3</f>
        <v>33798</v>
      </c>
      <c r="H105" s="68">
        <f>F105+G105</f>
        <v>412298</v>
      </c>
    </row>
    <row r="106" spans="1:13" s="106" customFormat="1" x14ac:dyDescent="0.25">
      <c r="A106" s="159" t="s">
        <v>188</v>
      </c>
      <c r="B106" s="160"/>
      <c r="C106" s="160"/>
      <c r="D106" s="160">
        <v>423</v>
      </c>
      <c r="E106" s="160" t="s">
        <v>208</v>
      </c>
      <c r="F106" s="157"/>
      <c r="G106" s="157">
        <v>3000</v>
      </c>
      <c r="H106" s="68">
        <f t="shared" ref="H106:H107" si="21">F106+G106</f>
        <v>3000</v>
      </c>
      <c r="K106"/>
      <c r="L106"/>
      <c r="M106"/>
    </row>
    <row r="107" spans="1:13" s="106" customFormat="1" x14ac:dyDescent="0.25">
      <c r="A107" s="159" t="s">
        <v>158</v>
      </c>
      <c r="B107" s="160"/>
      <c r="C107" s="160"/>
      <c r="D107" s="160">
        <v>426</v>
      </c>
      <c r="E107" s="160" t="s">
        <v>209</v>
      </c>
      <c r="F107" s="157"/>
      <c r="G107" s="157">
        <f>13500+60000</f>
        <v>73500</v>
      </c>
      <c r="H107" s="68">
        <f t="shared" si="21"/>
        <v>73500</v>
      </c>
      <c r="K107"/>
      <c r="L107"/>
      <c r="M107"/>
    </row>
    <row r="109" spans="1:13" x14ac:dyDescent="0.25">
      <c r="B109" s="170" t="s">
        <v>108</v>
      </c>
      <c r="C109" s="170"/>
      <c r="D109" s="170"/>
      <c r="E109" s="170"/>
      <c r="F109" s="5"/>
      <c r="G109"/>
      <c r="H109"/>
    </row>
    <row r="111" spans="1:13" x14ac:dyDescent="0.25">
      <c r="B111" s="170" t="s">
        <v>83</v>
      </c>
      <c r="C111" s="170"/>
      <c r="D111" s="170"/>
      <c r="E111" s="170"/>
      <c r="F111" s="5"/>
      <c r="G111"/>
      <c r="H111"/>
    </row>
    <row r="113" spans="1:8" ht="15" customHeight="1" x14ac:dyDescent="0.25">
      <c r="A113" s="191" t="s">
        <v>186</v>
      </c>
      <c r="B113" s="180" t="s">
        <v>0</v>
      </c>
      <c r="C113" s="180"/>
      <c r="D113" s="180"/>
      <c r="E113" s="180"/>
      <c r="F113" s="186" t="s">
        <v>147</v>
      </c>
      <c r="G113" s="177" t="s">
        <v>200</v>
      </c>
      <c r="H113" s="177" t="s">
        <v>201</v>
      </c>
    </row>
    <row r="114" spans="1:8" x14ac:dyDescent="0.25">
      <c r="A114" s="191"/>
      <c r="B114" s="6"/>
      <c r="C114" s="180" t="s">
        <v>87</v>
      </c>
      <c r="D114" s="180"/>
      <c r="E114" s="180"/>
      <c r="F114" s="187"/>
      <c r="G114" s="178"/>
      <c r="H114" s="178"/>
    </row>
    <row r="115" spans="1:8" x14ac:dyDescent="0.25">
      <c r="A115" s="191"/>
      <c r="B115" s="6"/>
      <c r="C115" s="6"/>
      <c r="D115" s="180" t="s">
        <v>88</v>
      </c>
      <c r="E115" s="180"/>
      <c r="F115" s="187"/>
      <c r="G115" s="178"/>
      <c r="H115" s="178"/>
    </row>
    <row r="116" spans="1:8" x14ac:dyDescent="0.25">
      <c r="A116" s="191"/>
      <c r="B116" s="6"/>
      <c r="C116" s="6"/>
      <c r="D116" s="6"/>
      <c r="E116" s="7" t="s">
        <v>89</v>
      </c>
      <c r="F116" s="188"/>
      <c r="G116" s="179"/>
      <c r="H116" s="179"/>
    </row>
    <row r="117" spans="1:8" x14ac:dyDescent="0.25">
      <c r="A117" s="191"/>
      <c r="B117" s="7">
        <v>1</v>
      </c>
      <c r="C117" s="7">
        <v>2</v>
      </c>
      <c r="D117" s="7">
        <v>3</v>
      </c>
      <c r="E117" s="7">
        <v>4</v>
      </c>
      <c r="F117" s="7">
        <v>5</v>
      </c>
      <c r="G117" s="7">
        <v>6</v>
      </c>
      <c r="H117" s="7">
        <v>7</v>
      </c>
    </row>
    <row r="118" spans="1:8" ht="26.25" x14ac:dyDescent="0.25">
      <c r="A118" s="138"/>
      <c r="B118" s="8">
        <v>8</v>
      </c>
      <c r="C118" s="8"/>
      <c r="D118" s="8"/>
      <c r="E118" s="14" t="s">
        <v>109</v>
      </c>
      <c r="F118" s="98">
        <f>F119</f>
        <v>1000</v>
      </c>
      <c r="G118" s="98">
        <f>G119</f>
        <v>0</v>
      </c>
      <c r="H118" s="98">
        <f>H119</f>
        <v>1000</v>
      </c>
    </row>
    <row r="119" spans="1:8" ht="26.25" x14ac:dyDescent="0.25">
      <c r="A119" s="138"/>
      <c r="B119" s="8"/>
      <c r="C119" s="8">
        <v>81</v>
      </c>
      <c r="D119" s="8"/>
      <c r="E119" s="14" t="s">
        <v>110</v>
      </c>
      <c r="F119" s="98">
        <f>F120</f>
        <v>1000</v>
      </c>
      <c r="G119" s="98">
        <f t="shared" ref="G119:H119" si="22">G120</f>
        <v>0</v>
      </c>
      <c r="H119" s="98">
        <f t="shared" si="22"/>
        <v>1000</v>
      </c>
    </row>
    <row r="120" spans="1:8" ht="39" x14ac:dyDescent="0.25">
      <c r="A120" s="138" t="s">
        <v>158</v>
      </c>
      <c r="B120" s="10"/>
      <c r="C120" s="10"/>
      <c r="D120" s="143">
        <v>812</v>
      </c>
      <c r="E120" s="13" t="s">
        <v>111</v>
      </c>
      <c r="F120" s="68">
        <v>1000</v>
      </c>
      <c r="G120" s="68"/>
      <c r="H120" s="68">
        <f>F120+G120</f>
        <v>1000</v>
      </c>
    </row>
    <row r="121" spans="1:8" x14ac:dyDescent="0.25">
      <c r="B121"/>
      <c r="C121"/>
      <c r="D121"/>
      <c r="E121"/>
      <c r="F121"/>
      <c r="G121"/>
      <c r="H121"/>
    </row>
    <row r="122" spans="1:8" x14ac:dyDescent="0.25">
      <c r="B122" s="3" t="s">
        <v>70</v>
      </c>
      <c r="C122"/>
      <c r="D122"/>
      <c r="E122"/>
      <c r="F122"/>
      <c r="G122"/>
      <c r="H122"/>
    </row>
    <row r="124" spans="1:8" ht="15" customHeight="1" x14ac:dyDescent="0.25">
      <c r="A124" s="191" t="s">
        <v>186</v>
      </c>
      <c r="B124" s="180" t="s">
        <v>0</v>
      </c>
      <c r="C124" s="180"/>
      <c r="D124" s="180"/>
      <c r="E124" s="180"/>
      <c r="F124" s="186" t="s">
        <v>147</v>
      </c>
      <c r="G124" s="177" t="s">
        <v>200</v>
      </c>
      <c r="H124" s="177" t="s">
        <v>201</v>
      </c>
    </row>
    <row r="125" spans="1:8" x14ac:dyDescent="0.25">
      <c r="A125" s="191"/>
      <c r="B125" s="6"/>
      <c r="C125" s="180" t="s">
        <v>87</v>
      </c>
      <c r="D125" s="180"/>
      <c r="E125" s="180"/>
      <c r="F125" s="187"/>
      <c r="G125" s="178"/>
      <c r="H125" s="178"/>
    </row>
    <row r="126" spans="1:8" x14ac:dyDescent="0.25">
      <c r="A126" s="191"/>
      <c r="B126" s="6"/>
      <c r="C126" s="6"/>
      <c r="D126" s="180" t="s">
        <v>88</v>
      </c>
      <c r="E126" s="180"/>
      <c r="F126" s="187"/>
      <c r="G126" s="178"/>
      <c r="H126" s="178"/>
    </row>
    <row r="127" spans="1:8" x14ac:dyDescent="0.25">
      <c r="A127" s="191"/>
      <c r="B127" s="6"/>
      <c r="C127" s="6"/>
      <c r="D127" s="6"/>
      <c r="E127" s="7" t="s">
        <v>89</v>
      </c>
      <c r="F127" s="188"/>
      <c r="G127" s="179"/>
      <c r="H127" s="179"/>
    </row>
    <row r="128" spans="1:8" x14ac:dyDescent="0.25">
      <c r="A128" s="191"/>
      <c r="B128" s="7">
        <v>1</v>
      </c>
      <c r="C128" s="7">
        <v>2</v>
      </c>
      <c r="D128" s="7">
        <v>3</v>
      </c>
      <c r="E128" s="7">
        <v>4</v>
      </c>
      <c r="F128" s="7">
        <v>5</v>
      </c>
      <c r="G128" s="7">
        <v>6</v>
      </c>
      <c r="H128" s="7">
        <v>7</v>
      </c>
    </row>
    <row r="129" spans="1:13" ht="26.25" x14ac:dyDescent="0.25">
      <c r="A129" s="138"/>
      <c r="B129" s="8">
        <v>5</v>
      </c>
      <c r="C129" s="8"/>
      <c r="D129" s="8"/>
      <c r="E129" s="14" t="s">
        <v>112</v>
      </c>
      <c r="F129" s="98">
        <f>F130</f>
        <v>300000</v>
      </c>
      <c r="G129" s="98">
        <f>G130</f>
        <v>0</v>
      </c>
      <c r="H129" s="98">
        <f>H130</f>
        <v>300000</v>
      </c>
    </row>
    <row r="130" spans="1:13" ht="26.25" x14ac:dyDescent="0.25">
      <c r="A130" s="138"/>
      <c r="B130" s="8"/>
      <c r="C130" s="8">
        <v>54</v>
      </c>
      <c r="D130" s="8"/>
      <c r="E130" s="14" t="s">
        <v>71</v>
      </c>
      <c r="F130" s="98">
        <f>F131</f>
        <v>300000</v>
      </c>
      <c r="G130" s="98">
        <f t="shared" ref="G130:H130" si="23">G131</f>
        <v>0</v>
      </c>
      <c r="H130" s="98">
        <f t="shared" si="23"/>
        <v>300000</v>
      </c>
    </row>
    <row r="131" spans="1:13" ht="26.25" x14ac:dyDescent="0.25">
      <c r="A131" s="138" t="s">
        <v>158</v>
      </c>
      <c r="B131" s="10"/>
      <c r="C131" s="10"/>
      <c r="D131" s="143">
        <v>543</v>
      </c>
      <c r="E131" s="13" t="s">
        <v>113</v>
      </c>
      <c r="F131" s="68">
        <v>300000</v>
      </c>
      <c r="G131" s="68"/>
      <c r="H131" s="68">
        <f>F131+G131</f>
        <v>300000</v>
      </c>
    </row>
    <row r="132" spans="1:13" x14ac:dyDescent="0.25">
      <c r="B132" s="15"/>
      <c r="C132" s="15"/>
      <c r="D132" s="15"/>
      <c r="E132" s="16"/>
      <c r="F132" s="101"/>
      <c r="G132" s="101"/>
      <c r="H132" s="101"/>
    </row>
    <row r="133" spans="1:13" x14ac:dyDescent="0.25">
      <c r="B133" s="15"/>
      <c r="C133" s="15"/>
      <c r="D133" s="15"/>
      <c r="E133" s="16"/>
      <c r="F133" s="17"/>
      <c r="G133" s="17"/>
      <c r="H133" s="17"/>
    </row>
    <row r="134" spans="1:13" ht="38.25" x14ac:dyDescent="0.25">
      <c r="A134" s="193" t="s">
        <v>173</v>
      </c>
      <c r="B134" s="193"/>
      <c r="C134" s="193"/>
      <c r="D134" s="193"/>
      <c r="E134" s="149" t="s">
        <v>89</v>
      </c>
      <c r="F134" s="142" t="s">
        <v>147</v>
      </c>
      <c r="G134" s="142" t="s">
        <v>174</v>
      </c>
      <c r="H134" s="142" t="s">
        <v>175</v>
      </c>
    </row>
    <row r="135" spans="1:13" x14ac:dyDescent="0.25">
      <c r="A135" s="194" t="s">
        <v>158</v>
      </c>
      <c r="B135" s="194"/>
      <c r="C135" s="194"/>
      <c r="D135" s="194"/>
      <c r="E135" s="13" t="s">
        <v>159</v>
      </c>
      <c r="F135" s="157">
        <f>3467833.58+1316823.58-8588+679</f>
        <v>4776748.16</v>
      </c>
      <c r="G135" s="11">
        <f>3281000+4571</f>
        <v>3285571</v>
      </c>
      <c r="H135" s="11">
        <f>3236000+8346</f>
        <v>3244346</v>
      </c>
    </row>
    <row r="136" spans="1:13" x14ac:dyDescent="0.25">
      <c r="A136" s="194" t="s">
        <v>160</v>
      </c>
      <c r="B136" s="194"/>
      <c r="C136" s="194"/>
      <c r="D136" s="194"/>
      <c r="E136" s="13" t="s">
        <v>161</v>
      </c>
      <c r="F136" s="157"/>
      <c r="G136" s="11"/>
      <c r="H136" s="11"/>
    </row>
    <row r="137" spans="1:13" x14ac:dyDescent="0.25">
      <c r="A137" s="194" t="s">
        <v>162</v>
      </c>
      <c r="B137" s="194"/>
      <c r="C137" s="194"/>
      <c r="D137" s="194"/>
      <c r="E137" s="13" t="s">
        <v>163</v>
      </c>
      <c r="F137" s="157"/>
      <c r="G137" s="11"/>
      <c r="H137" s="11"/>
    </row>
    <row r="138" spans="1:13" x14ac:dyDescent="0.25">
      <c r="A138" s="194" t="s">
        <v>164</v>
      </c>
      <c r="B138" s="194"/>
      <c r="C138" s="194"/>
      <c r="D138" s="194"/>
      <c r="E138" s="13" t="s">
        <v>165</v>
      </c>
      <c r="F138" s="157">
        <f>2000+170000+6000+30000+5000</f>
        <v>213000</v>
      </c>
      <c r="G138" s="11">
        <v>170000</v>
      </c>
      <c r="H138" s="11">
        <v>170000</v>
      </c>
      <c r="K138" s="106"/>
      <c r="L138" s="106"/>
      <c r="M138" s="106"/>
    </row>
    <row r="139" spans="1:13" x14ac:dyDescent="0.25">
      <c r="A139" s="194" t="s">
        <v>166</v>
      </c>
      <c r="B139" s="194"/>
      <c r="C139" s="194"/>
      <c r="D139" s="194"/>
      <c r="E139" s="13" t="s">
        <v>167</v>
      </c>
      <c r="F139" s="157">
        <f>10450+124318.32+39998+140201+49000+200000+10706+24000+14060.88+40000</f>
        <v>652734.20000000007</v>
      </c>
      <c r="G139" s="11">
        <v>593388</v>
      </c>
      <c r="H139" s="11">
        <v>624823.19999999995</v>
      </c>
      <c r="K139" s="106"/>
      <c r="L139" s="106"/>
      <c r="M139" s="106"/>
    </row>
    <row r="140" spans="1:13" x14ac:dyDescent="0.25">
      <c r="A140" s="194" t="s">
        <v>168</v>
      </c>
      <c r="B140" s="194"/>
      <c r="C140" s="194"/>
      <c r="D140" s="194"/>
      <c r="E140" s="13" t="s">
        <v>169</v>
      </c>
      <c r="F140" s="157"/>
      <c r="G140" s="11"/>
      <c r="H140" s="11"/>
    </row>
    <row r="141" spans="1:13" ht="26.25" x14ac:dyDescent="0.25">
      <c r="A141" s="194" t="s">
        <v>170</v>
      </c>
      <c r="B141" s="194"/>
      <c r="C141" s="194"/>
      <c r="D141" s="194"/>
      <c r="E141" s="13" t="s">
        <v>176</v>
      </c>
      <c r="F141" s="157"/>
      <c r="G141" s="11"/>
      <c r="H141" s="11"/>
      <c r="K141" s="106"/>
      <c r="L141" s="106"/>
      <c r="M141" s="106"/>
    </row>
    <row r="142" spans="1:13" x14ac:dyDescent="0.25">
      <c r="A142" s="194" t="s">
        <v>171</v>
      </c>
      <c r="B142" s="194"/>
      <c r="C142" s="194"/>
      <c r="D142" s="194"/>
      <c r="E142" s="13" t="s">
        <v>172</v>
      </c>
      <c r="F142" s="157"/>
      <c r="G142" s="11"/>
      <c r="H142" s="11"/>
    </row>
    <row r="143" spans="1:13" x14ac:dyDescent="0.25">
      <c r="A143" s="175"/>
      <c r="B143" s="175"/>
      <c r="C143" s="175"/>
      <c r="D143" s="175"/>
      <c r="E143" s="114" t="s">
        <v>177</v>
      </c>
      <c r="F143" s="157">
        <f>F135+F136+F137+F138+F139+F140+F141+F142</f>
        <v>5642482.3600000003</v>
      </c>
      <c r="G143" s="11">
        <f t="shared" ref="G143:H143" si="24">G135+G136+G137+G138+G139+G140+G141+G142</f>
        <v>4048959</v>
      </c>
      <c r="H143" s="11">
        <f t="shared" si="24"/>
        <v>4039169.2</v>
      </c>
    </row>
    <row r="144" spans="1:13" x14ac:dyDescent="0.25">
      <c r="B144" s="15"/>
      <c r="C144" s="15"/>
      <c r="D144" s="15"/>
      <c r="E144" s="16"/>
      <c r="F144" s="17"/>
      <c r="G144" s="17"/>
      <c r="H144" s="17"/>
    </row>
    <row r="145" spans="1:16" x14ac:dyDescent="0.25">
      <c r="B145" s="195" t="s">
        <v>114</v>
      </c>
      <c r="C145" s="195"/>
      <c r="D145" s="195"/>
      <c r="E145" s="195"/>
      <c r="F145" s="195"/>
      <c r="G145" s="195"/>
      <c r="H145" s="195"/>
    </row>
    <row r="146" spans="1:16" x14ac:dyDescent="0.25">
      <c r="I146" s="106"/>
      <c r="J146" s="106"/>
      <c r="N146" s="106"/>
      <c r="O146" s="106"/>
      <c r="P146" s="106"/>
    </row>
    <row r="147" spans="1:16" x14ac:dyDescent="0.25">
      <c r="B147" s="192" t="s">
        <v>115</v>
      </c>
      <c r="C147" s="192"/>
      <c r="D147" s="192"/>
      <c r="E147" s="192"/>
      <c r="F147" s="192"/>
      <c r="G147" s="192"/>
      <c r="H147" s="192"/>
      <c r="I147" s="106"/>
      <c r="J147" s="106"/>
      <c r="N147" s="106"/>
      <c r="O147" s="106"/>
      <c r="P147" s="106"/>
    </row>
    <row r="149" spans="1:16" s="106" customFormat="1" ht="45.75" customHeight="1" x14ac:dyDescent="0.25">
      <c r="A149" s="144"/>
      <c r="B149" s="196" t="s">
        <v>217</v>
      </c>
      <c r="C149" s="196"/>
      <c r="D149" s="196"/>
      <c r="E149" s="196"/>
      <c r="F149" s="196"/>
      <c r="G149" s="196"/>
      <c r="H149" s="196"/>
      <c r="K149"/>
      <c r="L149"/>
      <c r="M149"/>
    </row>
    <row r="150" spans="1:16" x14ac:dyDescent="0.25">
      <c r="B150"/>
      <c r="C150"/>
      <c r="D150"/>
      <c r="E150"/>
      <c r="F150"/>
      <c r="G150"/>
      <c r="H150"/>
    </row>
    <row r="151" spans="1:16" ht="15" customHeight="1" x14ac:dyDescent="0.25">
      <c r="B151" s="180" t="s">
        <v>0</v>
      </c>
      <c r="C151" s="180"/>
      <c r="D151" s="180"/>
      <c r="E151" s="180"/>
      <c r="F151" s="186" t="s">
        <v>147</v>
      </c>
      <c r="G151" s="177" t="s">
        <v>200</v>
      </c>
      <c r="H151" s="177" t="s">
        <v>201</v>
      </c>
    </row>
    <row r="152" spans="1:16" x14ac:dyDescent="0.25">
      <c r="B152" s="6"/>
      <c r="C152" s="180" t="s">
        <v>87</v>
      </c>
      <c r="D152" s="180"/>
      <c r="E152" s="180"/>
      <c r="F152" s="187"/>
      <c r="G152" s="178"/>
      <c r="H152" s="178"/>
    </row>
    <row r="153" spans="1:16" x14ac:dyDescent="0.25">
      <c r="B153" s="6"/>
      <c r="C153" s="6"/>
      <c r="D153" s="180" t="s">
        <v>88</v>
      </c>
      <c r="E153" s="180"/>
      <c r="F153" s="187"/>
      <c r="G153" s="178"/>
      <c r="H153" s="178"/>
    </row>
    <row r="154" spans="1:16" x14ac:dyDescent="0.25">
      <c r="B154" s="6"/>
      <c r="C154" s="6"/>
      <c r="D154" s="6"/>
      <c r="E154" s="7" t="s">
        <v>89</v>
      </c>
      <c r="F154" s="188"/>
      <c r="G154" s="179"/>
      <c r="H154" s="179"/>
    </row>
    <row r="155" spans="1:16" x14ac:dyDescent="0.25">
      <c r="B155" s="7">
        <v>1</v>
      </c>
      <c r="C155" s="7">
        <v>2</v>
      </c>
      <c r="D155" s="7">
        <v>3</v>
      </c>
      <c r="E155" s="7">
        <v>4</v>
      </c>
      <c r="F155" s="7">
        <v>5</v>
      </c>
      <c r="G155" s="7">
        <v>6</v>
      </c>
      <c r="H155" s="7">
        <v>7</v>
      </c>
    </row>
    <row r="156" spans="1:16" ht="26.25" x14ac:dyDescent="0.25">
      <c r="B156" s="10"/>
      <c r="C156" s="18"/>
      <c r="D156" s="18"/>
      <c r="E156" s="19" t="s">
        <v>1</v>
      </c>
      <c r="F156" s="20">
        <f>F157</f>
        <v>176816.58000000002</v>
      </c>
      <c r="G156" s="20">
        <f>G157</f>
        <v>24093</v>
      </c>
      <c r="H156" s="20">
        <f>H157</f>
        <v>200909.58000000002</v>
      </c>
    </row>
    <row r="157" spans="1:16" ht="26.25" x14ac:dyDescent="0.25">
      <c r="B157" s="10"/>
      <c r="C157" s="21"/>
      <c r="D157" s="21"/>
      <c r="E157" s="22" t="s">
        <v>2</v>
      </c>
      <c r="F157" s="23">
        <f>F159</f>
        <v>176816.58000000002</v>
      </c>
      <c r="G157" s="23">
        <f>G159</f>
        <v>24093</v>
      </c>
      <c r="H157" s="23">
        <f>H159</f>
        <v>200909.58000000002</v>
      </c>
    </row>
    <row r="158" spans="1:16" ht="26.25" x14ac:dyDescent="0.25">
      <c r="B158" s="10"/>
      <c r="C158" s="10"/>
      <c r="D158" s="10"/>
      <c r="E158" s="24" t="s">
        <v>3</v>
      </c>
      <c r="F158" s="8"/>
      <c r="G158" s="8"/>
      <c r="H158" s="8"/>
    </row>
    <row r="159" spans="1:16" ht="39" x14ac:dyDescent="0.25">
      <c r="B159" s="10"/>
      <c r="C159" s="25"/>
      <c r="D159" s="25"/>
      <c r="E159" s="26" t="s">
        <v>4</v>
      </c>
      <c r="F159" s="27">
        <f>F160+F173</f>
        <v>176816.58000000002</v>
      </c>
      <c r="G159" s="27">
        <f>G160+G173</f>
        <v>24093</v>
      </c>
      <c r="H159" s="27">
        <f>H160+H173</f>
        <v>200909.58000000002</v>
      </c>
    </row>
    <row r="160" spans="1:16" x14ac:dyDescent="0.25">
      <c r="B160" s="15"/>
      <c r="C160" s="15"/>
      <c r="D160" s="28"/>
      <c r="E160" s="29" t="s">
        <v>5</v>
      </c>
      <c r="F160" s="30">
        <f>F162</f>
        <v>151816.58000000002</v>
      </c>
      <c r="G160" s="30">
        <f>G162</f>
        <v>19462</v>
      </c>
      <c r="H160" s="30">
        <f>H162</f>
        <v>171278.58000000002</v>
      </c>
    </row>
    <row r="161" spans="2:8" x14ac:dyDescent="0.25">
      <c r="B161" s="15"/>
      <c r="C161" s="15"/>
      <c r="D161" s="28"/>
      <c r="E161" s="31" t="s">
        <v>30</v>
      </c>
      <c r="F161" s="32"/>
      <c r="G161" s="32"/>
      <c r="H161" s="32"/>
    </row>
    <row r="162" spans="2:8" x14ac:dyDescent="0.25">
      <c r="B162" s="33">
        <v>3</v>
      </c>
      <c r="C162" s="33"/>
      <c r="D162" s="33"/>
      <c r="E162" s="33" t="s">
        <v>6</v>
      </c>
      <c r="F162" s="9">
        <f>F163+F166+F171+F169</f>
        <v>151816.58000000002</v>
      </c>
      <c r="G162" s="9">
        <f>G163+G166+G171+G169</f>
        <v>19462</v>
      </c>
      <c r="H162" s="9">
        <f>H163+H166+H171+H169</f>
        <v>171278.58000000002</v>
      </c>
    </row>
    <row r="163" spans="2:8" x14ac:dyDescent="0.25">
      <c r="B163" s="33"/>
      <c r="C163" s="33">
        <v>31</v>
      </c>
      <c r="D163" s="33"/>
      <c r="E163" s="33" t="s">
        <v>7</v>
      </c>
      <c r="F163" s="9">
        <f>F164+F165</f>
        <v>103502.58</v>
      </c>
      <c r="G163" s="9">
        <f>G164+G165</f>
        <v>9461</v>
      </c>
      <c r="H163" s="9">
        <f>H164+H165</f>
        <v>112963.58</v>
      </c>
    </row>
    <row r="164" spans="2:8" x14ac:dyDescent="0.25">
      <c r="B164" s="34"/>
      <c r="C164" s="34"/>
      <c r="D164" s="34">
        <v>311</v>
      </c>
      <c r="E164" s="34" t="s">
        <v>8</v>
      </c>
      <c r="F164" s="11">
        <f>109643.84-20000-5000</f>
        <v>84643.839999999997</v>
      </c>
      <c r="G164" s="11">
        <v>12280</v>
      </c>
      <c r="H164" s="11">
        <f>F164+G164</f>
        <v>96923.839999999997</v>
      </c>
    </row>
    <row r="165" spans="2:8" x14ac:dyDescent="0.25">
      <c r="B165" s="34"/>
      <c r="C165" s="34"/>
      <c r="D165" s="34">
        <v>313</v>
      </c>
      <c r="E165" s="34" t="s">
        <v>10</v>
      </c>
      <c r="F165" s="11">
        <v>18858.740000000002</v>
      </c>
      <c r="G165" s="11">
        <v>-2819</v>
      </c>
      <c r="H165" s="11">
        <f>F165+G165</f>
        <v>16039.740000000002</v>
      </c>
    </row>
    <row r="166" spans="2:8" x14ac:dyDescent="0.25">
      <c r="B166" s="33"/>
      <c r="C166" s="33">
        <v>32</v>
      </c>
      <c r="D166" s="33"/>
      <c r="E166" s="33" t="s">
        <v>11</v>
      </c>
      <c r="F166" s="9">
        <f>F167+F168</f>
        <v>35314</v>
      </c>
      <c r="G166" s="9">
        <f t="shared" ref="G166:H166" si="25">G167+G168</f>
        <v>10000</v>
      </c>
      <c r="H166" s="9">
        <f t="shared" si="25"/>
        <v>45314</v>
      </c>
    </row>
    <row r="167" spans="2:8" x14ac:dyDescent="0.25">
      <c r="B167" s="34"/>
      <c r="C167" s="34"/>
      <c r="D167" s="34">
        <v>321</v>
      </c>
      <c r="E167" s="34" t="s">
        <v>12</v>
      </c>
      <c r="F167" s="11">
        <f>4464+20000+850</f>
        <v>25314</v>
      </c>
      <c r="G167" s="11"/>
      <c r="H167" s="11">
        <f>F167+G167</f>
        <v>25314</v>
      </c>
    </row>
    <row r="168" spans="2:8" x14ac:dyDescent="0.25">
      <c r="B168" s="34"/>
      <c r="C168" s="34"/>
      <c r="D168" s="34">
        <v>323</v>
      </c>
      <c r="E168" s="34" t="s">
        <v>13</v>
      </c>
      <c r="F168" s="11">
        <v>10000</v>
      </c>
      <c r="G168" s="11">
        <f>10000</f>
        <v>10000</v>
      </c>
      <c r="H168" s="11">
        <f>F168+G168</f>
        <v>20000</v>
      </c>
    </row>
    <row r="169" spans="2:8" x14ac:dyDescent="0.25">
      <c r="B169" s="33"/>
      <c r="C169" s="33">
        <v>34</v>
      </c>
      <c r="D169" s="33"/>
      <c r="E169" s="33" t="s">
        <v>23</v>
      </c>
      <c r="F169" s="9">
        <f>F170</f>
        <v>0</v>
      </c>
      <c r="G169" s="9">
        <f t="shared" ref="G169:H169" si="26">G170</f>
        <v>1</v>
      </c>
      <c r="H169" s="9">
        <f t="shared" si="26"/>
        <v>1</v>
      </c>
    </row>
    <row r="170" spans="2:8" x14ac:dyDescent="0.25">
      <c r="B170" s="34"/>
      <c r="C170" s="34"/>
      <c r="D170" s="34">
        <v>343</v>
      </c>
      <c r="E170" s="34" t="s">
        <v>24</v>
      </c>
      <c r="F170" s="11"/>
      <c r="G170" s="11">
        <v>1</v>
      </c>
      <c r="H170" s="11">
        <f>F170+G170</f>
        <v>1</v>
      </c>
    </row>
    <row r="171" spans="2:8" x14ac:dyDescent="0.25">
      <c r="B171" s="33"/>
      <c r="C171" s="33">
        <v>38</v>
      </c>
      <c r="D171" s="33"/>
      <c r="E171" s="33" t="s">
        <v>15</v>
      </c>
      <c r="F171" s="9">
        <f>F172</f>
        <v>13000</v>
      </c>
      <c r="G171" s="9">
        <f t="shared" ref="G171:H171" si="27">G172</f>
        <v>0</v>
      </c>
      <c r="H171" s="9">
        <f t="shared" si="27"/>
        <v>13000</v>
      </c>
    </row>
    <row r="172" spans="2:8" x14ac:dyDescent="0.25">
      <c r="B172" s="34"/>
      <c r="C172" s="34"/>
      <c r="D172" s="34">
        <v>381</v>
      </c>
      <c r="E172" s="97" t="s">
        <v>135</v>
      </c>
      <c r="F172" s="11">
        <f>11000+2000</f>
        <v>13000</v>
      </c>
      <c r="G172" s="11"/>
      <c r="H172" s="11">
        <f>F172+G172</f>
        <v>13000</v>
      </c>
    </row>
    <row r="173" spans="2:8" x14ac:dyDescent="0.25">
      <c r="B173" s="35"/>
      <c r="C173" s="35"/>
      <c r="D173" s="36"/>
      <c r="E173" s="29" t="s">
        <v>16</v>
      </c>
      <c r="F173" s="30">
        <f>F175</f>
        <v>25000</v>
      </c>
      <c r="G173" s="30">
        <f>G175</f>
        <v>4631</v>
      </c>
      <c r="H173" s="30">
        <f>H175</f>
        <v>29631</v>
      </c>
    </row>
    <row r="174" spans="2:8" x14ac:dyDescent="0.25">
      <c r="B174" s="35"/>
      <c r="C174" s="35"/>
      <c r="D174" s="36"/>
      <c r="E174" s="31" t="s">
        <v>30</v>
      </c>
      <c r="F174" s="32"/>
      <c r="G174" s="32"/>
      <c r="H174" s="32"/>
    </row>
    <row r="175" spans="2:8" x14ac:dyDescent="0.25">
      <c r="B175" s="33">
        <v>3</v>
      </c>
      <c r="C175" s="33"/>
      <c r="D175" s="33"/>
      <c r="E175" s="33" t="s">
        <v>6</v>
      </c>
      <c r="F175" s="9">
        <f>F176</f>
        <v>25000</v>
      </c>
      <c r="G175" s="9">
        <f t="shared" ref="G175:H176" si="28">G176</f>
        <v>4631</v>
      </c>
      <c r="H175" s="9">
        <f t="shared" si="28"/>
        <v>29631</v>
      </c>
    </row>
    <row r="176" spans="2:8" x14ac:dyDescent="0.25">
      <c r="B176" s="33"/>
      <c r="C176" s="33">
        <v>32</v>
      </c>
      <c r="D176" s="33"/>
      <c r="E176" s="33" t="s">
        <v>11</v>
      </c>
      <c r="F176" s="9">
        <f>F177</f>
        <v>25000</v>
      </c>
      <c r="G176" s="9">
        <f t="shared" si="28"/>
        <v>4631</v>
      </c>
      <c r="H176" s="9">
        <f t="shared" si="28"/>
        <v>29631</v>
      </c>
    </row>
    <row r="177" spans="2:8" x14ac:dyDescent="0.25">
      <c r="B177" s="34"/>
      <c r="C177" s="34"/>
      <c r="D177" s="34">
        <v>329</v>
      </c>
      <c r="E177" s="34" t="s">
        <v>14</v>
      </c>
      <c r="F177" s="11">
        <f>20000+1500+3500</f>
        <v>25000</v>
      </c>
      <c r="G177" s="11">
        <v>4631</v>
      </c>
      <c r="H177" s="11">
        <f>F177+G177</f>
        <v>29631</v>
      </c>
    </row>
    <row r="178" spans="2:8" ht="26.25" x14ac:dyDescent="0.25">
      <c r="B178" s="18"/>
      <c r="C178" s="18"/>
      <c r="D178" s="18"/>
      <c r="E178" s="39" t="s">
        <v>17</v>
      </c>
      <c r="F178" s="20">
        <f>F179+F238+F268+F325+F365+F405+F449</f>
        <v>4767078.01</v>
      </c>
      <c r="G178" s="20">
        <f>G179+G238+G268+G325+G365+G405+G449</f>
        <v>674494.77</v>
      </c>
      <c r="H178" s="20">
        <f>H179+H238+H268+H325+H365+H405+H449</f>
        <v>5441572.7800000003</v>
      </c>
    </row>
    <row r="179" spans="2:8" ht="26.25" x14ac:dyDescent="0.25">
      <c r="B179" s="21"/>
      <c r="C179" s="21"/>
      <c r="D179" s="21"/>
      <c r="E179" s="40" t="s">
        <v>18</v>
      </c>
      <c r="F179" s="23">
        <f>F181</f>
        <v>751194</v>
      </c>
      <c r="G179" s="23">
        <f t="shared" ref="G179:H179" si="29">G181</f>
        <v>1336.4600000000064</v>
      </c>
      <c r="H179" s="23">
        <f t="shared" si="29"/>
        <v>752530.46</v>
      </c>
    </row>
    <row r="180" spans="2:8" ht="26.25" x14ac:dyDescent="0.25">
      <c r="B180" s="10"/>
      <c r="C180" s="10"/>
      <c r="D180" s="10"/>
      <c r="E180" s="41" t="s">
        <v>3</v>
      </c>
      <c r="F180" s="8"/>
      <c r="G180" s="8"/>
      <c r="H180" s="8"/>
    </row>
    <row r="181" spans="2:8" ht="26.25" x14ac:dyDescent="0.25">
      <c r="B181" s="25"/>
      <c r="C181" s="25"/>
      <c r="D181" s="25"/>
      <c r="E181" s="42" t="s">
        <v>19</v>
      </c>
      <c r="F181" s="27">
        <f>F182+F203+F219+F210+F228+F233</f>
        <v>751194</v>
      </c>
      <c r="G181" s="27">
        <f>G182+G203+G219+G210+G228+G233</f>
        <v>1336.4600000000064</v>
      </c>
      <c r="H181" s="27">
        <f>H182+H203+H219+H210+H228+H233</f>
        <v>752530.46</v>
      </c>
    </row>
    <row r="182" spans="2:8" ht="26.25" x14ac:dyDescent="0.25">
      <c r="B182" s="15"/>
      <c r="C182" s="15"/>
      <c r="D182" s="28"/>
      <c r="E182" s="43" t="s">
        <v>20</v>
      </c>
      <c r="F182" s="30">
        <f>F184+F197</f>
        <v>577579</v>
      </c>
      <c r="G182" s="30">
        <f>G184+G197</f>
        <v>44737</v>
      </c>
      <c r="H182" s="30">
        <f>H184+H197</f>
        <v>622316</v>
      </c>
    </row>
    <row r="183" spans="2:8" x14ac:dyDescent="0.25">
      <c r="B183" s="15"/>
      <c r="C183" s="15"/>
      <c r="D183" s="28"/>
      <c r="E183" s="31" t="s">
        <v>180</v>
      </c>
      <c r="F183" s="32"/>
      <c r="G183" s="32"/>
      <c r="H183" s="32"/>
    </row>
    <row r="184" spans="2:8" x14ac:dyDescent="0.25">
      <c r="B184" s="33">
        <v>3</v>
      </c>
      <c r="C184" s="33"/>
      <c r="D184" s="33"/>
      <c r="E184" s="33" t="s">
        <v>6</v>
      </c>
      <c r="F184" s="9">
        <f>F185+F189+F195</f>
        <v>544079</v>
      </c>
      <c r="G184" s="9">
        <f>G185+G189+G195</f>
        <v>41237</v>
      </c>
      <c r="H184" s="9">
        <f>H185+H189+H195</f>
        <v>585316</v>
      </c>
    </row>
    <row r="185" spans="2:8" x14ac:dyDescent="0.25">
      <c r="B185" s="33"/>
      <c r="C185" s="33">
        <v>31</v>
      </c>
      <c r="D185" s="33"/>
      <c r="E185" s="33" t="s">
        <v>7</v>
      </c>
      <c r="F185" s="9">
        <f>F186+F187+F188</f>
        <v>240112</v>
      </c>
      <c r="G185" s="9">
        <f>G186+G187+G188</f>
        <v>14323</v>
      </c>
      <c r="H185" s="9">
        <f>H186+H187+H188</f>
        <v>254435</v>
      </c>
    </row>
    <row r="186" spans="2:8" x14ac:dyDescent="0.25">
      <c r="B186" s="34"/>
      <c r="C186" s="34"/>
      <c r="D186" s="34">
        <v>311</v>
      </c>
      <c r="E186" s="34" t="s">
        <v>21</v>
      </c>
      <c r="F186" s="11">
        <f>78500+47000+67300</f>
        <v>192800</v>
      </c>
      <c r="G186" s="157">
        <v>11300</v>
      </c>
      <c r="H186" s="11">
        <f>F186+G186</f>
        <v>204100</v>
      </c>
    </row>
    <row r="187" spans="2:8" x14ac:dyDescent="0.25">
      <c r="B187" s="34"/>
      <c r="C187" s="34"/>
      <c r="D187" s="34">
        <v>312</v>
      </c>
      <c r="E187" s="34" t="s">
        <v>9</v>
      </c>
      <c r="F187" s="11">
        <f>3600+3750+5000+1800</f>
        <v>14150</v>
      </c>
      <c r="G187" s="157">
        <f>2400</f>
        <v>2400</v>
      </c>
      <c r="H187" s="11">
        <f>F187+G187</f>
        <v>16550</v>
      </c>
    </row>
    <row r="188" spans="2:8" x14ac:dyDescent="0.25">
      <c r="B188" s="34"/>
      <c r="C188" s="34"/>
      <c r="D188" s="34">
        <v>313</v>
      </c>
      <c r="E188" s="34" t="s">
        <v>10</v>
      </c>
      <c r="F188" s="11">
        <v>33162</v>
      </c>
      <c r="G188" s="157">
        <v>623</v>
      </c>
      <c r="H188" s="11">
        <f>F188+G188</f>
        <v>33785</v>
      </c>
    </row>
    <row r="189" spans="2:8" x14ac:dyDescent="0.25">
      <c r="B189" s="33"/>
      <c r="C189" s="33">
        <v>32</v>
      </c>
      <c r="D189" s="33"/>
      <c r="E189" s="33" t="s">
        <v>11</v>
      </c>
      <c r="F189" s="9">
        <f>F190+F191+F192+F193+F194</f>
        <v>295211</v>
      </c>
      <c r="G189" s="9">
        <f>G190+G191+G192+G193+G194</f>
        <v>26414</v>
      </c>
      <c r="H189" s="9">
        <f>H190+H191+H192+H193+H194</f>
        <v>321625</v>
      </c>
    </row>
    <row r="190" spans="2:8" x14ac:dyDescent="0.25">
      <c r="B190" s="34"/>
      <c r="C190" s="34"/>
      <c r="D190" s="34">
        <v>321</v>
      </c>
      <c r="E190" s="34" t="s">
        <v>12</v>
      </c>
      <c r="F190" s="11">
        <f>13392+3000+500+425+10000</f>
        <v>27317</v>
      </c>
      <c r="G190" s="11"/>
      <c r="H190" s="11">
        <f>F190+G190</f>
        <v>27317</v>
      </c>
    </row>
    <row r="191" spans="2:8" x14ac:dyDescent="0.25">
      <c r="B191" s="34"/>
      <c r="C191" s="34"/>
      <c r="D191" s="34">
        <v>322</v>
      </c>
      <c r="E191" s="34" t="s">
        <v>22</v>
      </c>
      <c r="F191" s="11">
        <f>6000+22000+18000+3000+1000+3500+1000+500+12000</f>
        <v>67000</v>
      </c>
      <c r="G191" s="11">
        <v>5000</v>
      </c>
      <c r="H191" s="11">
        <f>F191+G191</f>
        <v>72000</v>
      </c>
    </row>
    <row r="192" spans="2:8" x14ac:dyDescent="0.25">
      <c r="B192" s="34"/>
      <c r="C192" s="34"/>
      <c r="D192" s="34">
        <v>323</v>
      </c>
      <c r="E192" s="34" t="s">
        <v>13</v>
      </c>
      <c r="F192" s="11">
        <f>17000+10000+2000+20000+9000+5000+6000+1370+1000+700+2000+5000+5000+6000+20400+10000+12000+25000+1700+20500</f>
        <v>179670</v>
      </c>
      <c r="G192" s="11">
        <f>5000+1907+8581+810+3200</f>
        <v>19498</v>
      </c>
      <c r="H192" s="11">
        <f>F192+G192</f>
        <v>199168</v>
      </c>
    </row>
    <row r="193" spans="2:8" x14ac:dyDescent="0.25">
      <c r="B193" s="34"/>
      <c r="C193" s="34"/>
      <c r="D193" s="34">
        <v>324</v>
      </c>
      <c r="E193" s="34" t="s">
        <v>106</v>
      </c>
      <c r="F193" s="11">
        <v>9144</v>
      </c>
      <c r="G193" s="158">
        <v>916</v>
      </c>
      <c r="H193" s="11">
        <f>F193+G193</f>
        <v>10060</v>
      </c>
    </row>
    <row r="194" spans="2:8" x14ac:dyDescent="0.25">
      <c r="B194" s="34"/>
      <c r="C194" s="34"/>
      <c r="D194" s="34">
        <v>329</v>
      </c>
      <c r="E194" s="34" t="s">
        <v>14</v>
      </c>
      <c r="F194" s="11">
        <f>10000+80+2000</f>
        <v>12080</v>
      </c>
      <c r="G194" s="11">
        <f>1000</f>
        <v>1000</v>
      </c>
      <c r="H194" s="11">
        <f>F194+G194</f>
        <v>13080</v>
      </c>
    </row>
    <row r="195" spans="2:8" x14ac:dyDescent="0.25">
      <c r="B195" s="33"/>
      <c r="C195" s="33">
        <v>34</v>
      </c>
      <c r="D195" s="33"/>
      <c r="E195" s="33" t="s">
        <v>23</v>
      </c>
      <c r="F195" s="9">
        <f>F196</f>
        <v>8756</v>
      </c>
      <c r="G195" s="9">
        <f t="shared" ref="G195:H195" si="30">G196</f>
        <v>500</v>
      </c>
      <c r="H195" s="9">
        <f t="shared" si="30"/>
        <v>9256</v>
      </c>
    </row>
    <row r="196" spans="2:8" x14ac:dyDescent="0.25">
      <c r="B196" s="34"/>
      <c r="C196" s="34"/>
      <c r="D196" s="34">
        <v>343</v>
      </c>
      <c r="E196" s="34" t="s">
        <v>24</v>
      </c>
      <c r="F196" s="11">
        <f>6500+756+1500</f>
        <v>8756</v>
      </c>
      <c r="G196" s="11">
        <v>500</v>
      </c>
      <c r="H196" s="11">
        <f>F196+G196</f>
        <v>9256</v>
      </c>
    </row>
    <row r="197" spans="2:8" ht="26.25" x14ac:dyDescent="0.25">
      <c r="B197" s="33">
        <v>4</v>
      </c>
      <c r="C197" s="33"/>
      <c r="D197" s="33"/>
      <c r="E197" s="44" t="s">
        <v>40</v>
      </c>
      <c r="F197" s="9">
        <f>F198+F200</f>
        <v>33500</v>
      </c>
      <c r="G197" s="9">
        <f>G198+G200</f>
        <v>3500</v>
      </c>
      <c r="H197" s="9">
        <f t="shared" ref="H197" si="31">H198+H200</f>
        <v>37000</v>
      </c>
    </row>
    <row r="198" spans="2:8" ht="26.25" x14ac:dyDescent="0.25">
      <c r="B198" s="34"/>
      <c r="C198" s="33">
        <v>41</v>
      </c>
      <c r="D198" s="33"/>
      <c r="E198" s="44" t="s">
        <v>53</v>
      </c>
      <c r="F198" s="9">
        <f>F199</f>
        <v>10000</v>
      </c>
      <c r="G198" s="9">
        <f t="shared" ref="G198:H198" si="32">G199</f>
        <v>-10000</v>
      </c>
      <c r="H198" s="9">
        <f t="shared" si="32"/>
        <v>0</v>
      </c>
    </row>
    <row r="199" spans="2:8" x14ac:dyDescent="0.25">
      <c r="B199" s="34"/>
      <c r="C199" s="34"/>
      <c r="D199" s="34">
        <v>412</v>
      </c>
      <c r="E199" s="34" t="s">
        <v>54</v>
      </c>
      <c r="F199" s="11">
        <v>10000</v>
      </c>
      <c r="G199" s="11">
        <v>-10000</v>
      </c>
      <c r="H199" s="11">
        <f>F199+G199</f>
        <v>0</v>
      </c>
    </row>
    <row r="200" spans="2:8" ht="26.25" x14ac:dyDescent="0.25">
      <c r="B200" s="34"/>
      <c r="C200" s="33">
        <v>42</v>
      </c>
      <c r="D200" s="34"/>
      <c r="E200" s="156" t="s">
        <v>41</v>
      </c>
      <c r="F200" s="9">
        <f>F201+F202</f>
        <v>23500</v>
      </c>
      <c r="G200" s="9">
        <f t="shared" ref="G200" si="33">G201+G202</f>
        <v>13500</v>
      </c>
      <c r="H200" s="9">
        <f>H201+H202</f>
        <v>37000</v>
      </c>
    </row>
    <row r="201" spans="2:8" x14ac:dyDescent="0.25">
      <c r="B201" s="34"/>
      <c r="C201" s="34"/>
      <c r="D201" s="34">
        <v>422</v>
      </c>
      <c r="E201" s="103" t="s">
        <v>68</v>
      </c>
      <c r="F201" s="11">
        <f>13500+10000</f>
        <v>23500</v>
      </c>
      <c r="G201" s="11"/>
      <c r="H201" s="11">
        <f>F201+G201</f>
        <v>23500</v>
      </c>
    </row>
    <row r="202" spans="2:8" x14ac:dyDescent="0.25">
      <c r="B202" s="34"/>
      <c r="C202" s="34"/>
      <c r="D202" s="34">
        <v>426</v>
      </c>
      <c r="E202" s="103" t="s">
        <v>209</v>
      </c>
      <c r="F202" s="11"/>
      <c r="G202" s="11">
        <v>13500</v>
      </c>
      <c r="H202" s="11">
        <f>F202+G202</f>
        <v>13500</v>
      </c>
    </row>
    <row r="203" spans="2:8" ht="26.25" x14ac:dyDescent="0.25">
      <c r="B203" s="35"/>
      <c r="C203" s="35"/>
      <c r="D203" s="36"/>
      <c r="E203" s="45" t="s">
        <v>26</v>
      </c>
      <c r="F203" s="30">
        <f>F205</f>
        <v>10048</v>
      </c>
      <c r="G203" s="30">
        <f>G205</f>
        <v>11300</v>
      </c>
      <c r="H203" s="30">
        <f>H205</f>
        <v>21348</v>
      </c>
    </row>
    <row r="204" spans="2:8" x14ac:dyDescent="0.25">
      <c r="B204" s="35"/>
      <c r="C204" s="35"/>
      <c r="D204" s="36"/>
      <c r="E204" s="31" t="s">
        <v>30</v>
      </c>
      <c r="F204" s="32"/>
      <c r="G204" s="32"/>
      <c r="H204" s="32"/>
    </row>
    <row r="205" spans="2:8" x14ac:dyDescent="0.25">
      <c r="B205" s="33">
        <v>3</v>
      </c>
      <c r="C205" s="33"/>
      <c r="D205" s="33"/>
      <c r="E205" s="33" t="s">
        <v>6</v>
      </c>
      <c r="F205" s="9">
        <f>F206</f>
        <v>10048</v>
      </c>
      <c r="G205" s="9">
        <f t="shared" ref="G205:H205" si="34">G206</f>
        <v>11300</v>
      </c>
      <c r="H205" s="9">
        <f t="shared" si="34"/>
        <v>21348</v>
      </c>
    </row>
    <row r="206" spans="2:8" x14ac:dyDescent="0.25">
      <c r="B206" s="33"/>
      <c r="C206" s="33">
        <v>32</v>
      </c>
      <c r="D206" s="33"/>
      <c r="E206" s="33" t="s">
        <v>11</v>
      </c>
      <c r="F206" s="9">
        <f>F208+F209+F207</f>
        <v>10048</v>
      </c>
      <c r="G206" s="9">
        <f>G208+G209+G207</f>
        <v>11300</v>
      </c>
      <c r="H206" s="9">
        <f>H208+H209+H207</f>
        <v>21348</v>
      </c>
    </row>
    <row r="207" spans="2:8" x14ac:dyDescent="0.25">
      <c r="B207" s="33"/>
      <c r="C207" s="33"/>
      <c r="D207" s="34">
        <v>322</v>
      </c>
      <c r="E207" s="34" t="s">
        <v>22</v>
      </c>
      <c r="F207" s="11">
        <f>1700</f>
        <v>1700</v>
      </c>
      <c r="G207" s="11">
        <v>1300</v>
      </c>
      <c r="H207" s="11">
        <f>F207+G207</f>
        <v>3000</v>
      </c>
    </row>
    <row r="208" spans="2:8" x14ac:dyDescent="0.25">
      <c r="B208" s="34"/>
      <c r="C208" s="34"/>
      <c r="D208" s="34">
        <v>323</v>
      </c>
      <c r="E208" s="34" t="s">
        <v>13</v>
      </c>
      <c r="F208" s="11">
        <f>5000+25000-15000-10000</f>
        <v>5000</v>
      </c>
      <c r="G208" s="11">
        <v>10000</v>
      </c>
      <c r="H208" s="11">
        <f t="shared" ref="H208:H209" si="35">F208+G208</f>
        <v>15000</v>
      </c>
    </row>
    <row r="209" spans="2:8" x14ac:dyDescent="0.25">
      <c r="B209" s="34"/>
      <c r="C209" s="34"/>
      <c r="D209" s="34">
        <v>329</v>
      </c>
      <c r="E209" s="34" t="s">
        <v>14</v>
      </c>
      <c r="F209" s="11">
        <f>1500+1848</f>
        <v>3348</v>
      </c>
      <c r="G209" s="11"/>
      <c r="H209" s="11">
        <f t="shared" si="35"/>
        <v>3348</v>
      </c>
    </row>
    <row r="210" spans="2:8" ht="26.25" x14ac:dyDescent="0.25">
      <c r="B210" s="38"/>
      <c r="C210" s="38"/>
      <c r="D210" s="46"/>
      <c r="E210" s="47" t="s">
        <v>25</v>
      </c>
      <c r="F210" s="30">
        <f>F212</f>
        <v>77067</v>
      </c>
      <c r="G210" s="30">
        <f>G212</f>
        <v>-65700.539999999994</v>
      </c>
      <c r="H210" s="30">
        <f>H212</f>
        <v>11366.46</v>
      </c>
    </row>
    <row r="211" spans="2:8" x14ac:dyDescent="0.25">
      <c r="B211" s="38"/>
      <c r="C211" s="38"/>
      <c r="D211" s="46"/>
      <c r="E211" s="31" t="s">
        <v>181</v>
      </c>
      <c r="F211" s="32"/>
      <c r="G211" s="32"/>
      <c r="H211" s="32"/>
    </row>
    <row r="212" spans="2:8" x14ac:dyDescent="0.25">
      <c r="B212" s="33">
        <v>3</v>
      </c>
      <c r="C212" s="33"/>
      <c r="D212" s="33"/>
      <c r="E212" s="33" t="s">
        <v>6</v>
      </c>
      <c r="F212" s="9">
        <f>F213+F216</f>
        <v>77067</v>
      </c>
      <c r="G212" s="9">
        <f>G213+G216</f>
        <v>-65700.539999999994</v>
      </c>
      <c r="H212" s="9">
        <f>H213+H216</f>
        <v>11366.46</v>
      </c>
    </row>
    <row r="213" spans="2:8" x14ac:dyDescent="0.25">
      <c r="B213" s="33"/>
      <c r="C213" s="33">
        <v>31</v>
      </c>
      <c r="D213" s="33"/>
      <c r="E213" s="33" t="s">
        <v>7</v>
      </c>
      <c r="F213" s="9">
        <f>F214+F215</f>
        <v>72567</v>
      </c>
      <c r="G213" s="9">
        <f t="shared" ref="G213" si="36">G214+G215</f>
        <v>-61624.5</v>
      </c>
      <c r="H213" s="9">
        <f>H214+H215</f>
        <v>10942.499999999998</v>
      </c>
    </row>
    <row r="214" spans="2:8" x14ac:dyDescent="0.25">
      <c r="B214" s="34"/>
      <c r="C214" s="34"/>
      <c r="D214" s="34">
        <v>311</v>
      </c>
      <c r="E214" s="34" t="s">
        <v>21</v>
      </c>
      <c r="F214" s="11">
        <v>61917</v>
      </c>
      <c r="G214" s="11">
        <v>-52580.4</v>
      </c>
      <c r="H214" s="11">
        <f>F214+G214</f>
        <v>9336.5999999999985</v>
      </c>
    </row>
    <row r="215" spans="2:8" x14ac:dyDescent="0.25">
      <c r="B215" s="34"/>
      <c r="C215" s="34"/>
      <c r="D215" s="34">
        <v>313</v>
      </c>
      <c r="E215" s="34" t="s">
        <v>10</v>
      </c>
      <c r="F215" s="11">
        <v>10650</v>
      </c>
      <c r="G215" s="11">
        <v>-9044.1</v>
      </c>
      <c r="H215" s="11">
        <f>F215+G215</f>
        <v>1605.8999999999996</v>
      </c>
    </row>
    <row r="216" spans="2:8" x14ac:dyDescent="0.25">
      <c r="B216" s="33"/>
      <c r="C216" s="33">
        <v>32</v>
      </c>
      <c r="D216" s="33"/>
      <c r="E216" s="33" t="s">
        <v>11</v>
      </c>
      <c r="F216" s="9">
        <f>F218+F217</f>
        <v>4500</v>
      </c>
      <c r="G216" s="9">
        <f t="shared" ref="G216:H216" si="37">G218+G217</f>
        <v>-4076.04</v>
      </c>
      <c r="H216" s="9">
        <f t="shared" si="37"/>
        <v>423.96000000000004</v>
      </c>
    </row>
    <row r="217" spans="2:8" x14ac:dyDescent="0.25">
      <c r="B217" s="33"/>
      <c r="C217" s="33"/>
      <c r="D217" s="34">
        <v>321</v>
      </c>
      <c r="E217" s="34" t="s">
        <v>12</v>
      </c>
      <c r="F217" s="11">
        <v>2800</v>
      </c>
      <c r="G217" s="11">
        <v>-2376.04</v>
      </c>
      <c r="H217" s="11">
        <f>F217+G217</f>
        <v>423.96000000000004</v>
      </c>
    </row>
    <row r="218" spans="2:8" x14ac:dyDescent="0.25">
      <c r="B218" s="34"/>
      <c r="C218" s="34"/>
      <c r="D218" s="34">
        <v>322</v>
      </c>
      <c r="E218" s="34" t="s">
        <v>22</v>
      </c>
      <c r="F218" s="11">
        <v>1700</v>
      </c>
      <c r="G218" s="11">
        <v>-1700</v>
      </c>
      <c r="H218" s="11">
        <f>F218+G218</f>
        <v>0</v>
      </c>
    </row>
    <row r="219" spans="2:8" ht="26.25" x14ac:dyDescent="0.25">
      <c r="B219" s="35"/>
      <c r="C219" s="35"/>
      <c r="D219" s="36"/>
      <c r="E219" s="47" t="s">
        <v>27</v>
      </c>
      <c r="F219" s="30">
        <f>F221</f>
        <v>59500</v>
      </c>
      <c r="G219" s="30">
        <f>G221+G225</f>
        <v>10000</v>
      </c>
      <c r="H219" s="30">
        <f>H221+H225</f>
        <v>69500</v>
      </c>
    </row>
    <row r="220" spans="2:8" x14ac:dyDescent="0.25">
      <c r="B220" s="35"/>
      <c r="C220" s="35"/>
      <c r="D220" s="36"/>
      <c r="E220" s="31" t="s">
        <v>30</v>
      </c>
      <c r="F220" s="32"/>
      <c r="G220" s="32"/>
      <c r="H220" s="32"/>
    </row>
    <row r="221" spans="2:8" x14ac:dyDescent="0.25">
      <c r="B221" s="33">
        <v>3</v>
      </c>
      <c r="C221" s="33"/>
      <c r="D221" s="33"/>
      <c r="E221" s="33" t="s">
        <v>6</v>
      </c>
      <c r="F221" s="9">
        <f>F222</f>
        <v>59500</v>
      </c>
      <c r="G221" s="9">
        <f t="shared" ref="G221" si="38">G222</f>
        <v>-25000</v>
      </c>
      <c r="H221" s="9">
        <f>H222</f>
        <v>34500</v>
      </c>
    </row>
    <row r="222" spans="2:8" x14ac:dyDescent="0.25">
      <c r="B222" s="33"/>
      <c r="C222" s="33">
        <v>32</v>
      </c>
      <c r="D222" s="33"/>
      <c r="E222" s="33" t="s">
        <v>11</v>
      </c>
      <c r="F222" s="9">
        <f>F224+F223</f>
        <v>59500</v>
      </c>
      <c r="G222" s="9">
        <f t="shared" ref="G222" si="39">G224+G223</f>
        <v>-25000</v>
      </c>
      <c r="H222" s="9">
        <f>H224+H223</f>
        <v>34500</v>
      </c>
    </row>
    <row r="223" spans="2:8" x14ac:dyDescent="0.25">
      <c r="B223" s="33"/>
      <c r="C223" s="33"/>
      <c r="D223" s="34">
        <v>322</v>
      </c>
      <c r="E223" s="34" t="s">
        <v>22</v>
      </c>
      <c r="F223" s="11">
        <f>1000+35000</f>
        <v>36000</v>
      </c>
      <c r="G223" s="11">
        <v>-35000</v>
      </c>
      <c r="H223" s="11">
        <f>F223+G223</f>
        <v>1000</v>
      </c>
    </row>
    <row r="224" spans="2:8" x14ac:dyDescent="0.25">
      <c r="B224" s="34"/>
      <c r="C224" s="34"/>
      <c r="D224" s="34">
        <v>323</v>
      </c>
      <c r="E224" s="34" t="s">
        <v>13</v>
      </c>
      <c r="F224" s="11">
        <f>6500+2000+15000</f>
        <v>23500</v>
      </c>
      <c r="G224" s="11">
        <v>10000</v>
      </c>
      <c r="H224" s="11">
        <f>F224+G224</f>
        <v>33500</v>
      </c>
    </row>
    <row r="225" spans="2:8" ht="26.25" x14ac:dyDescent="0.25">
      <c r="B225" s="33">
        <v>4</v>
      </c>
      <c r="C225" s="33"/>
      <c r="D225" s="33"/>
      <c r="E225" s="44" t="s">
        <v>40</v>
      </c>
      <c r="F225" s="9"/>
      <c r="G225" s="9">
        <f>G226</f>
        <v>35000</v>
      </c>
      <c r="H225" s="9">
        <f>F225+G225</f>
        <v>35000</v>
      </c>
    </row>
    <row r="226" spans="2:8" ht="26.25" x14ac:dyDescent="0.25">
      <c r="B226" s="33"/>
      <c r="C226" s="33">
        <v>42</v>
      </c>
      <c r="D226" s="33"/>
      <c r="E226" s="156" t="s">
        <v>41</v>
      </c>
      <c r="F226" s="9"/>
      <c r="G226" s="9">
        <f>G227</f>
        <v>35000</v>
      </c>
      <c r="H226" s="9">
        <f>F226+G226</f>
        <v>35000</v>
      </c>
    </row>
    <row r="227" spans="2:8" x14ac:dyDescent="0.25">
      <c r="B227" s="34"/>
      <c r="C227" s="34"/>
      <c r="D227" s="34">
        <v>422</v>
      </c>
      <c r="E227" s="103" t="s">
        <v>68</v>
      </c>
      <c r="F227" s="11"/>
      <c r="G227" s="11">
        <v>35000</v>
      </c>
      <c r="H227" s="11">
        <f>F227+G227</f>
        <v>35000</v>
      </c>
    </row>
    <row r="228" spans="2:8" x14ac:dyDescent="0.25">
      <c r="B228" s="35"/>
      <c r="C228" s="35"/>
      <c r="D228" s="36"/>
      <c r="E228" s="47" t="s">
        <v>144</v>
      </c>
      <c r="F228" s="30">
        <f>F230</f>
        <v>20000</v>
      </c>
      <c r="G228" s="30">
        <f>G230</f>
        <v>0</v>
      </c>
      <c r="H228" s="30">
        <f>H230</f>
        <v>20000</v>
      </c>
    </row>
    <row r="229" spans="2:8" x14ac:dyDescent="0.25">
      <c r="B229" s="35"/>
      <c r="C229" s="35"/>
      <c r="D229" s="36"/>
      <c r="E229" s="31" t="s">
        <v>30</v>
      </c>
      <c r="F229" s="32"/>
      <c r="G229" s="32"/>
      <c r="H229" s="32"/>
    </row>
    <row r="230" spans="2:8" x14ac:dyDescent="0.25">
      <c r="B230" s="33">
        <v>3</v>
      </c>
      <c r="C230" s="33"/>
      <c r="D230" s="33"/>
      <c r="E230" s="33" t="s">
        <v>6</v>
      </c>
      <c r="F230" s="9">
        <f>F231</f>
        <v>20000</v>
      </c>
      <c r="G230" s="9">
        <f t="shared" ref="G230:H231" si="40">G231</f>
        <v>0</v>
      </c>
      <c r="H230" s="9">
        <f t="shared" si="40"/>
        <v>20000</v>
      </c>
    </row>
    <row r="231" spans="2:8" x14ac:dyDescent="0.25">
      <c r="B231" s="33"/>
      <c r="C231" s="33">
        <v>32</v>
      </c>
      <c r="D231" s="33"/>
      <c r="E231" s="33" t="s">
        <v>11</v>
      </c>
      <c r="F231" s="9">
        <f>F232</f>
        <v>20000</v>
      </c>
      <c r="G231" s="9">
        <f t="shared" si="40"/>
        <v>0</v>
      </c>
      <c r="H231" s="9">
        <f t="shared" si="40"/>
        <v>20000</v>
      </c>
    </row>
    <row r="232" spans="2:8" x14ac:dyDescent="0.25">
      <c r="B232" s="34"/>
      <c r="C232" s="34"/>
      <c r="D232" s="34">
        <v>323</v>
      </c>
      <c r="E232" s="34" t="s">
        <v>13</v>
      </c>
      <c r="F232" s="11">
        <v>20000</v>
      </c>
      <c r="G232" s="11"/>
      <c r="H232" s="11">
        <f>F232+G232</f>
        <v>20000</v>
      </c>
    </row>
    <row r="233" spans="2:8" ht="26.25" x14ac:dyDescent="0.25">
      <c r="B233" s="55"/>
      <c r="C233" s="55"/>
      <c r="D233" s="46"/>
      <c r="E233" s="47" t="s">
        <v>136</v>
      </c>
      <c r="F233" s="30">
        <f>F235</f>
        <v>7000</v>
      </c>
      <c r="G233" s="30">
        <f>G235</f>
        <v>1000</v>
      </c>
      <c r="H233" s="30">
        <f>H235</f>
        <v>8000</v>
      </c>
    </row>
    <row r="234" spans="2:8" x14ac:dyDescent="0.25">
      <c r="B234" s="55"/>
      <c r="C234" s="55"/>
      <c r="D234" s="46"/>
      <c r="E234" s="31" t="s">
        <v>30</v>
      </c>
      <c r="F234" s="17"/>
      <c r="G234" s="17"/>
      <c r="H234" s="17"/>
    </row>
    <row r="235" spans="2:8" x14ac:dyDescent="0.25">
      <c r="B235" s="33">
        <v>3</v>
      </c>
      <c r="C235" s="33"/>
      <c r="D235" s="34"/>
      <c r="E235" s="44" t="s">
        <v>6</v>
      </c>
      <c r="F235" s="9">
        <f>F236</f>
        <v>7000</v>
      </c>
      <c r="G235" s="9">
        <f t="shared" ref="G235:H236" si="41">G236</f>
        <v>1000</v>
      </c>
      <c r="H235" s="9">
        <f t="shared" si="41"/>
        <v>8000</v>
      </c>
    </row>
    <row r="236" spans="2:8" x14ac:dyDescent="0.25">
      <c r="B236" s="33"/>
      <c r="C236" s="33">
        <v>32</v>
      </c>
      <c r="D236" s="34"/>
      <c r="E236" s="44" t="s">
        <v>11</v>
      </c>
      <c r="F236" s="9">
        <f>F237</f>
        <v>7000</v>
      </c>
      <c r="G236" s="9">
        <f t="shared" si="41"/>
        <v>1000</v>
      </c>
      <c r="H236" s="9">
        <f t="shared" si="41"/>
        <v>8000</v>
      </c>
    </row>
    <row r="237" spans="2:8" x14ac:dyDescent="0.25">
      <c r="B237" s="53"/>
      <c r="C237" s="53"/>
      <c r="D237" s="34">
        <v>323</v>
      </c>
      <c r="E237" s="54" t="s">
        <v>13</v>
      </c>
      <c r="F237" s="11">
        <v>7000</v>
      </c>
      <c r="G237" s="11">
        <v>1000</v>
      </c>
      <c r="H237" s="11">
        <f>F237+G237</f>
        <v>8000</v>
      </c>
    </row>
    <row r="238" spans="2:8" ht="26.25" x14ac:dyDescent="0.25">
      <c r="B238" s="21"/>
      <c r="C238" s="21"/>
      <c r="D238" s="21"/>
      <c r="E238" s="48" t="s">
        <v>28</v>
      </c>
      <c r="F238" s="23">
        <f>F240</f>
        <v>187500</v>
      </c>
      <c r="G238" s="23">
        <f t="shared" ref="G238:H238" si="42">G240</f>
        <v>0</v>
      </c>
      <c r="H238" s="23">
        <f t="shared" si="42"/>
        <v>187500</v>
      </c>
    </row>
    <row r="239" spans="2:8" ht="26.25" x14ac:dyDescent="0.25">
      <c r="B239" s="10"/>
      <c r="C239" s="10"/>
      <c r="D239" s="10"/>
      <c r="E239" s="14" t="s">
        <v>29</v>
      </c>
      <c r="F239" s="9"/>
      <c r="G239" s="9"/>
      <c r="H239" s="9"/>
    </row>
    <row r="240" spans="2:8" ht="26.25" x14ac:dyDescent="0.25">
      <c r="B240" s="25"/>
      <c r="C240" s="25"/>
      <c r="D240" s="25"/>
      <c r="E240" s="49" t="s">
        <v>116</v>
      </c>
      <c r="F240" s="27">
        <f>F241+F246+F253+F258+F263</f>
        <v>187500</v>
      </c>
      <c r="G240" s="27">
        <f t="shared" ref="G240:H240" si="43">G241+G246+G253+G258+G263</f>
        <v>0</v>
      </c>
      <c r="H240" s="27">
        <f t="shared" si="43"/>
        <v>187500</v>
      </c>
    </row>
    <row r="241" spans="2:8" x14ac:dyDescent="0.25">
      <c r="B241" s="50"/>
      <c r="C241" s="50"/>
      <c r="D241" s="51"/>
      <c r="E241" s="52" t="s">
        <v>117</v>
      </c>
      <c r="F241" s="30">
        <f>F243</f>
        <v>3000</v>
      </c>
      <c r="G241" s="30">
        <f>G243</f>
        <v>0</v>
      </c>
      <c r="H241" s="30">
        <f>H243</f>
        <v>3000</v>
      </c>
    </row>
    <row r="242" spans="2:8" x14ac:dyDescent="0.25">
      <c r="B242" s="50"/>
      <c r="C242" s="50"/>
      <c r="D242" s="51"/>
      <c r="E242" s="31" t="s">
        <v>30</v>
      </c>
      <c r="F242" s="32"/>
      <c r="G242" s="32"/>
      <c r="H242" s="32"/>
    </row>
    <row r="243" spans="2:8" x14ac:dyDescent="0.25">
      <c r="B243" s="33">
        <v>3</v>
      </c>
      <c r="C243" s="33"/>
      <c r="D243" s="33"/>
      <c r="E243" s="33" t="s">
        <v>6</v>
      </c>
      <c r="F243" s="9">
        <f>F244</f>
        <v>3000</v>
      </c>
      <c r="G243" s="9">
        <f t="shared" ref="G243:H244" si="44">G244</f>
        <v>0</v>
      </c>
      <c r="H243" s="9">
        <f t="shared" si="44"/>
        <v>3000</v>
      </c>
    </row>
    <row r="244" spans="2:8" x14ac:dyDescent="0.25">
      <c r="B244" s="33"/>
      <c r="C244" s="33">
        <v>38</v>
      </c>
      <c r="D244" s="33"/>
      <c r="E244" s="33" t="s">
        <v>15</v>
      </c>
      <c r="F244" s="9">
        <f>F245</f>
        <v>3000</v>
      </c>
      <c r="G244" s="9">
        <f t="shared" si="44"/>
        <v>0</v>
      </c>
      <c r="H244" s="9">
        <f t="shared" si="44"/>
        <v>3000</v>
      </c>
    </row>
    <row r="245" spans="2:8" x14ac:dyDescent="0.25">
      <c r="B245" s="53"/>
      <c r="C245" s="53"/>
      <c r="D245" s="34">
        <v>381</v>
      </c>
      <c r="E245" s="54" t="s">
        <v>31</v>
      </c>
      <c r="F245" s="11">
        <v>3000</v>
      </c>
      <c r="G245" s="11"/>
      <c r="H245" s="11">
        <f>F245+G245</f>
        <v>3000</v>
      </c>
    </row>
    <row r="246" spans="2:8" x14ac:dyDescent="0.25">
      <c r="B246" s="50"/>
      <c r="C246" s="50"/>
      <c r="D246" s="51"/>
      <c r="E246" s="52" t="s">
        <v>32</v>
      </c>
      <c r="F246" s="30">
        <f>F248</f>
        <v>96000</v>
      </c>
      <c r="G246" s="30">
        <f>G248</f>
        <v>0</v>
      </c>
      <c r="H246" s="30">
        <f>H248</f>
        <v>96000</v>
      </c>
    </row>
    <row r="247" spans="2:8" x14ac:dyDescent="0.25">
      <c r="B247" s="50"/>
      <c r="C247" s="50"/>
      <c r="D247" s="51"/>
      <c r="E247" s="31" t="s">
        <v>180</v>
      </c>
      <c r="F247" s="32"/>
      <c r="G247" s="32"/>
      <c r="H247" s="32"/>
    </row>
    <row r="248" spans="2:8" x14ac:dyDescent="0.25">
      <c r="B248" s="33">
        <v>3</v>
      </c>
      <c r="C248" s="33"/>
      <c r="D248" s="33"/>
      <c r="E248" s="33" t="s">
        <v>6</v>
      </c>
      <c r="F248" s="9">
        <f>F249+F251</f>
        <v>96000</v>
      </c>
      <c r="G248" s="9">
        <f t="shared" ref="G248:H248" si="45">G249+G251</f>
        <v>0</v>
      </c>
      <c r="H248" s="9">
        <f t="shared" si="45"/>
        <v>96000</v>
      </c>
    </row>
    <row r="249" spans="2:8" ht="26.25" x14ac:dyDescent="0.25">
      <c r="B249" s="33"/>
      <c r="C249" s="33">
        <v>36</v>
      </c>
      <c r="D249" s="33"/>
      <c r="E249" s="44" t="s">
        <v>33</v>
      </c>
      <c r="F249" s="9">
        <f>F250</f>
        <v>40000</v>
      </c>
      <c r="G249" s="9">
        <f t="shared" ref="G249:H249" si="46">G250</f>
        <v>0</v>
      </c>
      <c r="H249" s="9">
        <f t="shared" si="46"/>
        <v>40000</v>
      </c>
    </row>
    <row r="250" spans="2:8" x14ac:dyDescent="0.25">
      <c r="B250" s="33"/>
      <c r="C250" s="33"/>
      <c r="D250" s="34">
        <v>363</v>
      </c>
      <c r="E250" s="34" t="s">
        <v>34</v>
      </c>
      <c r="F250" s="11">
        <v>40000</v>
      </c>
      <c r="G250" s="11"/>
      <c r="H250" s="11">
        <f>F250+G250</f>
        <v>40000</v>
      </c>
    </row>
    <row r="251" spans="2:8" x14ac:dyDescent="0.25">
      <c r="B251" s="33"/>
      <c r="C251" s="33">
        <v>38</v>
      </c>
      <c r="D251" s="33"/>
      <c r="E251" s="33" t="s">
        <v>15</v>
      </c>
      <c r="F251" s="9">
        <f>F252</f>
        <v>56000</v>
      </c>
      <c r="G251" s="9">
        <f t="shared" ref="G251:H251" si="47">G252</f>
        <v>0</v>
      </c>
      <c r="H251" s="9">
        <f t="shared" si="47"/>
        <v>56000</v>
      </c>
    </row>
    <row r="252" spans="2:8" x14ac:dyDescent="0.25">
      <c r="B252" s="53"/>
      <c r="C252" s="53"/>
      <c r="D252" s="34">
        <v>381</v>
      </c>
      <c r="E252" s="54" t="s">
        <v>31</v>
      </c>
      <c r="F252" s="11">
        <f>12000+20000+12000+12000</f>
        <v>56000</v>
      </c>
      <c r="G252" s="11"/>
      <c r="H252" s="11">
        <f>F252+G252</f>
        <v>56000</v>
      </c>
    </row>
    <row r="253" spans="2:8" ht="26.25" x14ac:dyDescent="0.25">
      <c r="B253" s="50"/>
      <c r="C253" s="50"/>
      <c r="D253" s="50"/>
      <c r="E253" s="56" t="s">
        <v>118</v>
      </c>
      <c r="F253" s="30">
        <f>F255</f>
        <v>1000</v>
      </c>
      <c r="G253" s="30">
        <f>G255</f>
        <v>0</v>
      </c>
      <c r="H253" s="30">
        <f>H255</f>
        <v>1000</v>
      </c>
    </row>
    <row r="254" spans="2:8" x14ac:dyDescent="0.25">
      <c r="B254" s="50"/>
      <c r="C254" s="50"/>
      <c r="D254" s="50"/>
      <c r="E254" s="31" t="s">
        <v>30</v>
      </c>
      <c r="F254" s="32"/>
      <c r="G254" s="32"/>
      <c r="H254" s="32"/>
    </row>
    <row r="255" spans="2:8" x14ac:dyDescent="0.25">
      <c r="B255" s="33">
        <v>3</v>
      </c>
      <c r="C255" s="33"/>
      <c r="D255" s="33"/>
      <c r="E255" s="33" t="s">
        <v>6</v>
      </c>
      <c r="F255" s="9">
        <f>F256</f>
        <v>1000</v>
      </c>
      <c r="G255" s="9">
        <f t="shared" ref="G255:H256" si="48">G256</f>
        <v>0</v>
      </c>
      <c r="H255" s="9">
        <f t="shared" si="48"/>
        <v>1000</v>
      </c>
    </row>
    <row r="256" spans="2:8" x14ac:dyDescent="0.25">
      <c r="B256" s="33"/>
      <c r="C256" s="33">
        <v>38</v>
      </c>
      <c r="D256" s="33"/>
      <c r="E256" s="33" t="s">
        <v>15</v>
      </c>
      <c r="F256" s="9">
        <f>F257</f>
        <v>1000</v>
      </c>
      <c r="G256" s="9">
        <f t="shared" si="48"/>
        <v>0</v>
      </c>
      <c r="H256" s="9">
        <f t="shared" si="48"/>
        <v>1000</v>
      </c>
    </row>
    <row r="257" spans="2:8" x14ac:dyDescent="0.25">
      <c r="B257" s="53"/>
      <c r="C257" s="53"/>
      <c r="D257" s="34">
        <v>381</v>
      </c>
      <c r="E257" s="54" t="s">
        <v>31</v>
      </c>
      <c r="F257" s="11">
        <v>1000</v>
      </c>
      <c r="G257" s="11"/>
      <c r="H257" s="11">
        <f>F257+G257</f>
        <v>1000</v>
      </c>
    </row>
    <row r="258" spans="2:8" x14ac:dyDescent="0.25">
      <c r="B258" s="50"/>
      <c r="C258" s="50"/>
      <c r="D258" s="50"/>
      <c r="E258" s="56" t="s">
        <v>145</v>
      </c>
      <c r="F258" s="30">
        <f>F260</f>
        <v>7500</v>
      </c>
      <c r="G258" s="30">
        <f>G260</f>
        <v>0</v>
      </c>
      <c r="H258" s="30">
        <f>H260</f>
        <v>7500</v>
      </c>
    </row>
    <row r="259" spans="2:8" x14ac:dyDescent="0.25">
      <c r="B259" s="50"/>
      <c r="C259" s="50"/>
      <c r="D259" s="50"/>
      <c r="E259" s="31" t="s">
        <v>30</v>
      </c>
      <c r="F259" s="32"/>
      <c r="G259" s="32"/>
      <c r="H259" s="32"/>
    </row>
    <row r="260" spans="2:8" x14ac:dyDescent="0.25">
      <c r="B260" s="33">
        <v>3</v>
      </c>
      <c r="C260" s="33"/>
      <c r="D260" s="33"/>
      <c r="E260" s="33" t="s">
        <v>6</v>
      </c>
      <c r="F260" s="9">
        <f>F261</f>
        <v>7500</v>
      </c>
      <c r="G260" s="9">
        <f t="shared" ref="G260:H261" si="49">G261</f>
        <v>0</v>
      </c>
      <c r="H260" s="9">
        <f t="shared" si="49"/>
        <v>7500</v>
      </c>
    </row>
    <row r="261" spans="2:8" x14ac:dyDescent="0.25">
      <c r="B261" s="33"/>
      <c r="C261" s="33">
        <v>38</v>
      </c>
      <c r="D261" s="33"/>
      <c r="E261" s="33" t="s">
        <v>15</v>
      </c>
      <c r="F261" s="9">
        <f>F262</f>
        <v>7500</v>
      </c>
      <c r="G261" s="9">
        <f t="shared" si="49"/>
        <v>0</v>
      </c>
      <c r="H261" s="9">
        <f t="shared" si="49"/>
        <v>7500</v>
      </c>
    </row>
    <row r="262" spans="2:8" x14ac:dyDescent="0.25">
      <c r="B262" s="53"/>
      <c r="C262" s="53"/>
      <c r="D262" s="34">
        <v>381</v>
      </c>
      <c r="E262" s="54" t="s">
        <v>31</v>
      </c>
      <c r="F262" s="11">
        <f>5000+2500</f>
        <v>7500</v>
      </c>
      <c r="G262" s="11"/>
      <c r="H262" s="11">
        <f>F262+G262</f>
        <v>7500</v>
      </c>
    </row>
    <row r="263" spans="2:8" ht="26.25" x14ac:dyDescent="0.25">
      <c r="B263" s="121"/>
      <c r="C263" s="121"/>
      <c r="D263" s="125"/>
      <c r="E263" s="104" t="s">
        <v>150</v>
      </c>
      <c r="F263" s="73">
        <f>F265</f>
        <v>80000</v>
      </c>
      <c r="G263" s="73">
        <f t="shared" ref="G263:H263" si="50">G265</f>
        <v>0</v>
      </c>
      <c r="H263" s="73">
        <f t="shared" si="50"/>
        <v>80000</v>
      </c>
    </row>
    <row r="264" spans="2:8" x14ac:dyDescent="0.25">
      <c r="B264" s="122"/>
      <c r="C264" s="123"/>
      <c r="D264" s="124"/>
      <c r="E264" s="31" t="s">
        <v>30</v>
      </c>
      <c r="F264" s="126"/>
      <c r="G264" s="127"/>
      <c r="H264" s="127"/>
    </row>
    <row r="265" spans="2:8" x14ac:dyDescent="0.25">
      <c r="B265" s="33">
        <v>3</v>
      </c>
      <c r="C265" s="53"/>
      <c r="D265" s="34"/>
      <c r="E265" s="33" t="s">
        <v>6</v>
      </c>
      <c r="F265" s="9">
        <f>F266</f>
        <v>80000</v>
      </c>
      <c r="G265" s="9">
        <f t="shared" ref="G265:H266" si="51">G266</f>
        <v>0</v>
      </c>
      <c r="H265" s="9">
        <f t="shared" si="51"/>
        <v>80000</v>
      </c>
    </row>
    <row r="266" spans="2:8" x14ac:dyDescent="0.25">
      <c r="B266" s="53"/>
      <c r="C266" s="33">
        <v>32</v>
      </c>
      <c r="D266" s="34"/>
      <c r="E266" s="44" t="s">
        <v>11</v>
      </c>
      <c r="F266" s="9">
        <f>F267</f>
        <v>80000</v>
      </c>
      <c r="G266" s="9">
        <f t="shared" si="51"/>
        <v>0</v>
      </c>
      <c r="H266" s="9">
        <f t="shared" si="51"/>
        <v>80000</v>
      </c>
    </row>
    <row r="267" spans="2:8" x14ac:dyDescent="0.25">
      <c r="B267" s="53"/>
      <c r="C267" s="53"/>
      <c r="D267" s="34">
        <v>323</v>
      </c>
      <c r="E267" s="54" t="s">
        <v>13</v>
      </c>
      <c r="F267" s="11">
        <f>150000-6600-10000-2500-10400-40500</f>
        <v>80000</v>
      </c>
      <c r="G267" s="11"/>
      <c r="H267" s="11">
        <f>F267+G267</f>
        <v>80000</v>
      </c>
    </row>
    <row r="268" spans="2:8" ht="26.25" x14ac:dyDescent="0.25">
      <c r="B268" s="57"/>
      <c r="C268" s="57"/>
      <c r="D268" s="57"/>
      <c r="E268" s="58" t="s">
        <v>35</v>
      </c>
      <c r="F268" s="23">
        <f>F270</f>
        <v>1600106</v>
      </c>
      <c r="G268" s="23">
        <f>G270</f>
        <v>590025</v>
      </c>
      <c r="H268" s="23">
        <f t="shared" ref="H268" si="52">H270</f>
        <v>2190131</v>
      </c>
    </row>
    <row r="269" spans="2:8" ht="26.25" x14ac:dyDescent="0.25">
      <c r="B269" s="33"/>
      <c r="C269" s="33"/>
      <c r="D269" s="33"/>
      <c r="E269" s="44" t="s">
        <v>36</v>
      </c>
      <c r="F269" s="9"/>
      <c r="G269" s="9"/>
      <c r="H269" s="9"/>
    </row>
    <row r="270" spans="2:8" ht="26.25" x14ac:dyDescent="0.25">
      <c r="B270" s="59"/>
      <c r="C270" s="59"/>
      <c r="D270" s="59"/>
      <c r="E270" s="60" t="s">
        <v>37</v>
      </c>
      <c r="F270" s="27">
        <f>F271+F278+F283+F288+F295+F302+F307+F320+F312</f>
        <v>1600106</v>
      </c>
      <c r="G270" s="27">
        <f>G271+G278+G283+G288+G295+G302+G307+G320+G312</f>
        <v>590025</v>
      </c>
      <c r="H270" s="27">
        <f>H271+H278+H283+H288+H295+H302+H307+H320+H312</f>
        <v>2190131</v>
      </c>
    </row>
    <row r="271" spans="2:8" x14ac:dyDescent="0.25">
      <c r="B271" s="35"/>
      <c r="C271" s="35"/>
      <c r="D271" s="35"/>
      <c r="E271" s="47" t="s">
        <v>140</v>
      </c>
      <c r="F271" s="30">
        <f>F273</f>
        <v>160000</v>
      </c>
      <c r="G271" s="30">
        <f>G273</f>
        <v>0</v>
      </c>
      <c r="H271" s="30">
        <f>H273</f>
        <v>160000</v>
      </c>
    </row>
    <row r="272" spans="2:8" x14ac:dyDescent="0.25">
      <c r="B272" s="35"/>
      <c r="C272" s="35"/>
      <c r="D272" s="35"/>
      <c r="E272" s="31" t="s">
        <v>30</v>
      </c>
      <c r="F272" s="32"/>
      <c r="G272" s="32"/>
      <c r="H272" s="32"/>
    </row>
    <row r="273" spans="2:8" x14ac:dyDescent="0.25">
      <c r="B273" s="33">
        <v>3</v>
      </c>
      <c r="C273" s="33"/>
      <c r="D273" s="33"/>
      <c r="E273" s="33" t="s">
        <v>6</v>
      </c>
      <c r="F273" s="9">
        <f>F274+F276</f>
        <v>160000</v>
      </c>
      <c r="G273" s="9">
        <f t="shared" ref="G273:H273" si="53">G274+G276</f>
        <v>0</v>
      </c>
      <c r="H273" s="9">
        <f t="shared" si="53"/>
        <v>160000</v>
      </c>
    </row>
    <row r="274" spans="2:8" x14ac:dyDescent="0.25">
      <c r="B274" s="33"/>
      <c r="C274" s="33">
        <v>35</v>
      </c>
      <c r="D274" s="33"/>
      <c r="E274" s="33" t="s">
        <v>38</v>
      </c>
      <c r="F274" s="9">
        <f>F275</f>
        <v>155000</v>
      </c>
      <c r="G274" s="9">
        <f t="shared" ref="G274:H274" si="54">G275</f>
        <v>0</v>
      </c>
      <c r="H274" s="9">
        <f t="shared" si="54"/>
        <v>155000</v>
      </c>
    </row>
    <row r="275" spans="2:8" x14ac:dyDescent="0.25">
      <c r="B275" s="53"/>
      <c r="C275" s="53"/>
      <c r="D275" s="34">
        <v>352</v>
      </c>
      <c r="E275" s="54" t="s">
        <v>139</v>
      </c>
      <c r="F275" s="11">
        <f>15000+130000+10000</f>
        <v>155000</v>
      </c>
      <c r="G275" s="11"/>
      <c r="H275" s="11">
        <f>F275+G275</f>
        <v>155000</v>
      </c>
    </row>
    <row r="276" spans="2:8" x14ac:dyDescent="0.25">
      <c r="B276" s="53"/>
      <c r="C276" s="33">
        <v>38</v>
      </c>
      <c r="D276" s="34"/>
      <c r="E276" s="44" t="s">
        <v>15</v>
      </c>
      <c r="F276" s="9">
        <f>F277</f>
        <v>5000</v>
      </c>
      <c r="G276" s="9">
        <f t="shared" ref="G276:H276" si="55">G277</f>
        <v>0</v>
      </c>
      <c r="H276" s="9">
        <f t="shared" si="55"/>
        <v>5000</v>
      </c>
    </row>
    <row r="277" spans="2:8" ht="26.25" x14ac:dyDescent="0.25">
      <c r="B277" s="10"/>
      <c r="C277" s="10"/>
      <c r="D277" s="10">
        <v>381</v>
      </c>
      <c r="E277" s="13" t="s">
        <v>39</v>
      </c>
      <c r="F277" s="11">
        <v>5000</v>
      </c>
      <c r="G277" s="11"/>
      <c r="H277" s="11">
        <f>F277+G277</f>
        <v>5000</v>
      </c>
    </row>
    <row r="278" spans="2:8" x14ac:dyDescent="0.25">
      <c r="B278" s="55"/>
      <c r="C278" s="38"/>
      <c r="D278" s="38"/>
      <c r="E278" s="29" t="s">
        <v>42</v>
      </c>
      <c r="F278" s="30">
        <f>F280</f>
        <v>1157750</v>
      </c>
      <c r="G278" s="30">
        <f t="shared" ref="G278:H278" si="56">G280</f>
        <v>584775</v>
      </c>
      <c r="H278" s="30">
        <f t="shared" si="56"/>
        <v>1742525</v>
      </c>
    </row>
    <row r="279" spans="2:8" x14ac:dyDescent="0.25">
      <c r="B279" s="55"/>
      <c r="C279" s="38"/>
      <c r="D279" s="38"/>
      <c r="E279" s="31" t="s">
        <v>180</v>
      </c>
      <c r="F279" s="32"/>
      <c r="G279" s="32"/>
      <c r="H279" s="32"/>
    </row>
    <row r="280" spans="2:8" ht="26.25" x14ac:dyDescent="0.25">
      <c r="B280" s="33">
        <v>4</v>
      </c>
      <c r="C280" s="33"/>
      <c r="D280" s="33"/>
      <c r="E280" s="44" t="s">
        <v>40</v>
      </c>
      <c r="F280" s="9">
        <f>F281</f>
        <v>1157750</v>
      </c>
      <c r="G280" s="9">
        <f>G281</f>
        <v>584775</v>
      </c>
      <c r="H280" s="9">
        <f t="shared" ref="H280:H281" si="57">H281</f>
        <v>1742525</v>
      </c>
    </row>
    <row r="281" spans="2:8" ht="26.25" x14ac:dyDescent="0.25">
      <c r="B281" s="34"/>
      <c r="C281" s="33">
        <v>42</v>
      </c>
      <c r="D281" s="34"/>
      <c r="E281" s="44" t="s">
        <v>41</v>
      </c>
      <c r="F281" s="98">
        <f>F282</f>
        <v>1157750</v>
      </c>
      <c r="G281" s="98">
        <f t="shared" ref="G281" si="58">G282</f>
        <v>584775</v>
      </c>
      <c r="H281" s="98">
        <f t="shared" si="57"/>
        <v>1742525</v>
      </c>
    </row>
    <row r="282" spans="2:8" x14ac:dyDescent="0.25">
      <c r="B282" s="34"/>
      <c r="C282" s="34"/>
      <c r="D282" s="34">
        <v>421</v>
      </c>
      <c r="E282" s="54" t="s">
        <v>43</v>
      </c>
      <c r="F282" s="68">
        <f>481250+497500+179000</f>
        <v>1157750</v>
      </c>
      <c r="G282" s="11">
        <v>584775</v>
      </c>
      <c r="H282" s="11">
        <f>F282+G282</f>
        <v>1742525</v>
      </c>
    </row>
    <row r="283" spans="2:8" x14ac:dyDescent="0.25">
      <c r="B283" s="61"/>
      <c r="C283" s="62"/>
      <c r="D283" s="62"/>
      <c r="E283" s="63" t="s">
        <v>44</v>
      </c>
      <c r="F283" s="64">
        <f>F285</f>
        <v>10000</v>
      </c>
      <c r="G283" s="64">
        <f>G285</f>
        <v>0</v>
      </c>
      <c r="H283" s="64">
        <f>H285</f>
        <v>10000</v>
      </c>
    </row>
    <row r="284" spans="2:8" x14ac:dyDescent="0.25">
      <c r="B284" s="65"/>
      <c r="C284" s="38"/>
      <c r="D284" s="38"/>
      <c r="E284" s="37" t="s">
        <v>30</v>
      </c>
      <c r="F284" s="32"/>
      <c r="G284" s="32"/>
      <c r="H284" s="32"/>
    </row>
    <row r="285" spans="2:8" x14ac:dyDescent="0.25">
      <c r="B285" s="66">
        <v>3</v>
      </c>
      <c r="C285" s="66"/>
      <c r="D285" s="66"/>
      <c r="E285" s="66" t="s">
        <v>6</v>
      </c>
      <c r="F285" s="9">
        <f t="shared" ref="F285:H286" si="59">F286</f>
        <v>10000</v>
      </c>
      <c r="G285" s="9">
        <f t="shared" si="59"/>
        <v>0</v>
      </c>
      <c r="H285" s="9">
        <f t="shared" si="59"/>
        <v>10000</v>
      </c>
    </row>
    <row r="286" spans="2:8" x14ac:dyDescent="0.25">
      <c r="B286" s="66"/>
      <c r="C286" s="66">
        <v>37</v>
      </c>
      <c r="D286" s="66"/>
      <c r="E286" s="66" t="s">
        <v>45</v>
      </c>
      <c r="F286" s="9">
        <f t="shared" si="59"/>
        <v>10000</v>
      </c>
      <c r="G286" s="9">
        <f t="shared" si="59"/>
        <v>0</v>
      </c>
      <c r="H286" s="9">
        <f t="shared" si="59"/>
        <v>10000</v>
      </c>
    </row>
    <row r="287" spans="2:8" x14ac:dyDescent="0.25">
      <c r="B287" s="67"/>
      <c r="C287" s="34"/>
      <c r="D287" s="34">
        <v>372</v>
      </c>
      <c r="E287" s="34" t="s">
        <v>46</v>
      </c>
      <c r="F287" s="11">
        <v>10000</v>
      </c>
      <c r="G287" s="11"/>
      <c r="H287" s="11">
        <f>F287+G287</f>
        <v>10000</v>
      </c>
    </row>
    <row r="288" spans="2:8" ht="26.25" x14ac:dyDescent="0.25">
      <c r="B288" s="35"/>
      <c r="C288" s="35"/>
      <c r="D288" s="35"/>
      <c r="E288" s="47" t="s">
        <v>47</v>
      </c>
      <c r="F288" s="30">
        <f>F290</f>
        <v>111000</v>
      </c>
      <c r="G288" s="30">
        <f>G290</f>
        <v>0</v>
      </c>
      <c r="H288" s="30">
        <f>H290</f>
        <v>111000</v>
      </c>
    </row>
    <row r="289" spans="2:8" x14ac:dyDescent="0.25">
      <c r="B289" s="35"/>
      <c r="C289" s="35"/>
      <c r="D289" s="35"/>
      <c r="E289" s="31" t="s">
        <v>179</v>
      </c>
      <c r="F289" s="32"/>
      <c r="G289" s="32"/>
      <c r="H289" s="32"/>
    </row>
    <row r="290" spans="2:8" x14ac:dyDescent="0.25">
      <c r="B290" s="33">
        <v>3</v>
      </c>
      <c r="C290" s="33"/>
      <c r="D290" s="33"/>
      <c r="E290" s="33" t="s">
        <v>6</v>
      </c>
      <c r="F290" s="9">
        <f>F291</f>
        <v>111000</v>
      </c>
      <c r="G290" s="9">
        <f t="shared" ref="G290:H290" si="60">G291</f>
        <v>0</v>
      </c>
      <c r="H290" s="9">
        <f t="shared" si="60"/>
        <v>111000</v>
      </c>
    </row>
    <row r="291" spans="2:8" x14ac:dyDescent="0.25">
      <c r="B291" s="33"/>
      <c r="C291" s="33">
        <v>32</v>
      </c>
      <c r="D291" s="33"/>
      <c r="E291" s="33" t="s">
        <v>11</v>
      </c>
      <c r="F291" s="9">
        <f>F292+F293+F294</f>
        <v>111000</v>
      </c>
      <c r="G291" s="9">
        <f t="shared" ref="G291:H291" si="61">G292+G293+G294</f>
        <v>0</v>
      </c>
      <c r="H291" s="9">
        <f t="shared" si="61"/>
        <v>111000</v>
      </c>
    </row>
    <row r="292" spans="2:8" x14ac:dyDescent="0.25">
      <c r="B292" s="34"/>
      <c r="C292" s="34"/>
      <c r="D292" s="34">
        <v>322</v>
      </c>
      <c r="E292" s="34" t="s">
        <v>22</v>
      </c>
      <c r="F292" s="11">
        <v>6000</v>
      </c>
      <c r="G292" s="11"/>
      <c r="H292" s="11">
        <f>F292+G292</f>
        <v>6000</v>
      </c>
    </row>
    <row r="293" spans="2:8" x14ac:dyDescent="0.25">
      <c r="B293" s="34"/>
      <c r="C293" s="34"/>
      <c r="D293" s="34">
        <v>323</v>
      </c>
      <c r="E293" s="34" t="s">
        <v>13</v>
      </c>
      <c r="F293" s="11">
        <f>16000+80000+20000-15000</f>
        <v>101000</v>
      </c>
      <c r="G293" s="11"/>
      <c r="H293" s="11">
        <f t="shared" ref="H293:H294" si="62">F293+G293</f>
        <v>101000</v>
      </c>
    </row>
    <row r="294" spans="2:8" x14ac:dyDescent="0.25">
      <c r="B294" s="10"/>
      <c r="C294" s="10"/>
      <c r="D294" s="10">
        <v>329</v>
      </c>
      <c r="E294" s="13" t="s">
        <v>14</v>
      </c>
      <c r="F294" s="11">
        <v>4000</v>
      </c>
      <c r="G294" s="11"/>
      <c r="H294" s="11">
        <f t="shared" si="62"/>
        <v>4000</v>
      </c>
    </row>
    <row r="295" spans="2:8" x14ac:dyDescent="0.25">
      <c r="B295" s="35"/>
      <c r="C295" s="35"/>
      <c r="D295" s="35"/>
      <c r="E295" s="47" t="s">
        <v>48</v>
      </c>
      <c r="F295" s="30">
        <f>F297</f>
        <v>21356</v>
      </c>
      <c r="G295" s="30">
        <f>G297</f>
        <v>5250</v>
      </c>
      <c r="H295" s="30">
        <f>H297</f>
        <v>26606</v>
      </c>
    </row>
    <row r="296" spans="2:8" x14ac:dyDescent="0.25">
      <c r="B296" s="35"/>
      <c r="C296" s="35"/>
      <c r="D296" s="35"/>
      <c r="E296" s="31" t="s">
        <v>30</v>
      </c>
      <c r="F296" s="32"/>
      <c r="G296" s="32"/>
      <c r="H296" s="32"/>
    </row>
    <row r="297" spans="2:8" x14ac:dyDescent="0.25">
      <c r="B297" s="33">
        <v>3</v>
      </c>
      <c r="C297" s="33"/>
      <c r="D297" s="33"/>
      <c r="E297" s="33" t="s">
        <v>6</v>
      </c>
      <c r="F297" s="9">
        <f>F298</f>
        <v>21356</v>
      </c>
      <c r="G297" s="9">
        <f t="shared" ref="G297:H297" si="63">G298</f>
        <v>5250</v>
      </c>
      <c r="H297" s="9">
        <f t="shared" si="63"/>
        <v>26606</v>
      </c>
    </row>
    <row r="298" spans="2:8" x14ac:dyDescent="0.25">
      <c r="B298" s="33"/>
      <c r="C298" s="33">
        <v>32</v>
      </c>
      <c r="D298" s="33"/>
      <c r="E298" s="33" t="s">
        <v>11</v>
      </c>
      <c r="F298" s="9">
        <f>F299+F300+F301</f>
        <v>21356</v>
      </c>
      <c r="G298" s="9">
        <f>G299+G300+G301</f>
        <v>5250</v>
      </c>
      <c r="H298" s="9">
        <f>H299+H300+H301</f>
        <v>26606</v>
      </c>
    </row>
    <row r="299" spans="2:8" x14ac:dyDescent="0.25">
      <c r="B299" s="53"/>
      <c r="C299" s="53"/>
      <c r="D299" s="34">
        <v>322</v>
      </c>
      <c r="E299" s="34" t="s">
        <v>22</v>
      </c>
      <c r="F299" s="11">
        <f>2500+4000</f>
        <v>6500</v>
      </c>
      <c r="G299" s="11"/>
      <c r="H299" s="11">
        <f>F299+G299</f>
        <v>6500</v>
      </c>
    </row>
    <row r="300" spans="2:8" x14ac:dyDescent="0.25">
      <c r="B300" s="10"/>
      <c r="C300" s="10"/>
      <c r="D300" s="10">
        <v>323</v>
      </c>
      <c r="E300" s="10" t="s">
        <v>13</v>
      </c>
      <c r="F300" s="68">
        <f>5856+5000</f>
        <v>10856</v>
      </c>
      <c r="G300" s="11">
        <f>2250+3000</f>
        <v>5250</v>
      </c>
      <c r="H300" s="11">
        <f>F300+G300</f>
        <v>16106</v>
      </c>
    </row>
    <row r="301" spans="2:8" x14ac:dyDescent="0.25">
      <c r="B301" s="10"/>
      <c r="C301" s="10"/>
      <c r="D301" s="10">
        <v>329</v>
      </c>
      <c r="E301" s="13" t="s">
        <v>14</v>
      </c>
      <c r="F301" s="11">
        <v>4000</v>
      </c>
      <c r="G301" s="11"/>
      <c r="H301" s="11">
        <f>F301+G301</f>
        <v>4000</v>
      </c>
    </row>
    <row r="302" spans="2:8" ht="26.25" x14ac:dyDescent="0.25">
      <c r="B302" s="69"/>
      <c r="C302" s="69"/>
      <c r="D302" s="69"/>
      <c r="E302" s="70" t="s">
        <v>214</v>
      </c>
      <c r="F302" s="71">
        <f>F304</f>
        <v>5000</v>
      </c>
      <c r="G302" s="71">
        <f>G304</f>
        <v>0</v>
      </c>
      <c r="H302" s="71">
        <f>H304</f>
        <v>5000</v>
      </c>
    </row>
    <row r="303" spans="2:8" x14ac:dyDescent="0.25">
      <c r="B303" s="15"/>
      <c r="C303" s="15"/>
      <c r="D303" s="15"/>
      <c r="E303" s="77" t="s">
        <v>151</v>
      </c>
      <c r="F303" s="17"/>
      <c r="G303" s="17"/>
      <c r="H303" s="17"/>
    </row>
    <row r="304" spans="2:8" x14ac:dyDescent="0.25">
      <c r="B304" s="8">
        <v>3</v>
      </c>
      <c r="C304" s="8"/>
      <c r="D304" s="8"/>
      <c r="E304" s="14" t="s">
        <v>6</v>
      </c>
      <c r="F304" s="9">
        <f t="shared" ref="F304:H305" si="64">F305</f>
        <v>5000</v>
      </c>
      <c r="G304" s="9">
        <f t="shared" si="64"/>
        <v>0</v>
      </c>
      <c r="H304" s="9">
        <f t="shared" si="64"/>
        <v>5000</v>
      </c>
    </row>
    <row r="305" spans="2:8" x14ac:dyDescent="0.25">
      <c r="B305" s="8"/>
      <c r="C305" s="8">
        <v>35</v>
      </c>
      <c r="D305" s="8"/>
      <c r="E305" s="14" t="s">
        <v>38</v>
      </c>
      <c r="F305" s="9">
        <f t="shared" si="64"/>
        <v>5000</v>
      </c>
      <c r="G305" s="9">
        <f t="shared" si="64"/>
        <v>0</v>
      </c>
      <c r="H305" s="9">
        <f t="shared" si="64"/>
        <v>5000</v>
      </c>
    </row>
    <row r="306" spans="2:8" x14ac:dyDescent="0.25">
      <c r="B306" s="10"/>
      <c r="C306" s="10"/>
      <c r="D306" s="10">
        <v>352</v>
      </c>
      <c r="E306" s="13" t="s">
        <v>50</v>
      </c>
      <c r="F306" s="11">
        <v>5000</v>
      </c>
      <c r="G306" s="11"/>
      <c r="H306" s="11">
        <f>F306+G306</f>
        <v>5000</v>
      </c>
    </row>
    <row r="307" spans="2:8" x14ac:dyDescent="0.25">
      <c r="B307" s="50"/>
      <c r="C307" s="50"/>
      <c r="D307" s="50"/>
      <c r="E307" s="72" t="s">
        <v>119</v>
      </c>
      <c r="F307" s="73">
        <f>F309</f>
        <v>5000</v>
      </c>
      <c r="G307" s="73">
        <f>G309</f>
        <v>0</v>
      </c>
      <c r="H307" s="73">
        <f>H309</f>
        <v>5000</v>
      </c>
    </row>
    <row r="308" spans="2:8" x14ac:dyDescent="0.25">
      <c r="B308" s="15"/>
      <c r="C308" s="15"/>
      <c r="D308" s="15"/>
      <c r="E308" s="77" t="s">
        <v>151</v>
      </c>
      <c r="F308" s="17"/>
      <c r="G308" s="17"/>
      <c r="H308" s="17"/>
    </row>
    <row r="309" spans="2:8" x14ac:dyDescent="0.25">
      <c r="B309" s="8">
        <v>3</v>
      </c>
      <c r="C309" s="8"/>
      <c r="D309" s="8"/>
      <c r="E309" s="14" t="s">
        <v>6</v>
      </c>
      <c r="F309" s="74">
        <f>F310</f>
        <v>5000</v>
      </c>
      <c r="G309" s="74">
        <f t="shared" ref="G309:H310" si="65">G310</f>
        <v>0</v>
      </c>
      <c r="H309" s="74">
        <f t="shared" si="65"/>
        <v>5000</v>
      </c>
    </row>
    <row r="310" spans="2:8" x14ac:dyDescent="0.25">
      <c r="B310" s="8"/>
      <c r="C310" s="8">
        <v>32</v>
      </c>
      <c r="D310" s="8"/>
      <c r="E310" s="14" t="s">
        <v>11</v>
      </c>
      <c r="F310" s="9">
        <f>F311</f>
        <v>5000</v>
      </c>
      <c r="G310" s="9">
        <f t="shared" si="65"/>
        <v>0</v>
      </c>
      <c r="H310" s="9">
        <f t="shared" si="65"/>
        <v>5000</v>
      </c>
    </row>
    <row r="311" spans="2:8" x14ac:dyDescent="0.25">
      <c r="B311" s="10"/>
      <c r="C311" s="10"/>
      <c r="D311" s="10">
        <v>323</v>
      </c>
      <c r="E311" s="10" t="s">
        <v>13</v>
      </c>
      <c r="F311" s="11">
        <v>5000</v>
      </c>
      <c r="G311" s="11"/>
      <c r="H311" s="11">
        <f>F311+G311</f>
        <v>5000</v>
      </c>
    </row>
    <row r="312" spans="2:8" ht="26.25" x14ac:dyDescent="0.25">
      <c r="B312" s="82"/>
      <c r="C312" s="82"/>
      <c r="D312" s="83"/>
      <c r="E312" s="84" t="s">
        <v>156</v>
      </c>
      <c r="F312" s="85">
        <f>F314</f>
        <v>60000</v>
      </c>
      <c r="G312" s="85">
        <f>G314+G317</f>
        <v>0</v>
      </c>
      <c r="H312" s="85">
        <f t="shared" ref="H312" si="66">H317</f>
        <v>60000</v>
      </c>
    </row>
    <row r="313" spans="2:8" x14ac:dyDescent="0.25">
      <c r="B313" s="86"/>
      <c r="C313" s="163"/>
      <c r="D313" s="164"/>
      <c r="E313" s="165" t="s">
        <v>180</v>
      </c>
      <c r="F313" s="88"/>
      <c r="G313" s="88"/>
      <c r="H313" s="88"/>
    </row>
    <row r="314" spans="2:8" x14ac:dyDescent="0.25">
      <c r="B314" s="8">
        <v>3</v>
      </c>
      <c r="C314" s="8"/>
      <c r="D314" s="8"/>
      <c r="E314" s="14" t="s">
        <v>6</v>
      </c>
      <c r="F314" s="92">
        <f>F315</f>
        <v>60000</v>
      </c>
      <c r="G314" s="92">
        <f>G315</f>
        <v>-60000</v>
      </c>
      <c r="H314" s="92">
        <f>F314+G314</f>
        <v>0</v>
      </c>
    </row>
    <row r="315" spans="2:8" x14ac:dyDescent="0.25">
      <c r="B315" s="8"/>
      <c r="C315" s="8">
        <v>32</v>
      </c>
      <c r="D315" s="8"/>
      <c r="E315" s="14" t="s">
        <v>11</v>
      </c>
      <c r="F315" s="92">
        <f>F316</f>
        <v>60000</v>
      </c>
      <c r="G315" s="92">
        <f>G316</f>
        <v>-60000</v>
      </c>
      <c r="H315" s="92">
        <f>F315+G315</f>
        <v>0</v>
      </c>
    </row>
    <row r="316" spans="2:8" x14ac:dyDescent="0.25">
      <c r="B316" s="10"/>
      <c r="C316" s="10"/>
      <c r="D316" s="10">
        <v>323</v>
      </c>
      <c r="E316" s="10" t="s">
        <v>13</v>
      </c>
      <c r="F316" s="96">
        <v>60000</v>
      </c>
      <c r="G316" s="96">
        <v>-60000</v>
      </c>
      <c r="H316" s="96">
        <f>F316+G316</f>
        <v>0</v>
      </c>
    </row>
    <row r="317" spans="2:8" x14ac:dyDescent="0.25">
      <c r="B317" s="89">
        <v>4</v>
      </c>
      <c r="C317" s="89"/>
      <c r="D317" s="89"/>
      <c r="E317" s="33" t="s">
        <v>184</v>
      </c>
      <c r="F317" s="91">
        <f>F318</f>
        <v>0</v>
      </c>
      <c r="G317" s="91">
        <f t="shared" ref="G317:H318" si="67">G318</f>
        <v>60000</v>
      </c>
      <c r="H317" s="91">
        <f t="shared" si="67"/>
        <v>60000</v>
      </c>
    </row>
    <row r="318" spans="2:8" ht="26.25" x14ac:dyDescent="0.25">
      <c r="B318" s="89"/>
      <c r="C318" s="89">
        <v>42</v>
      </c>
      <c r="D318" s="89"/>
      <c r="E318" s="44" t="s">
        <v>41</v>
      </c>
      <c r="F318" s="91">
        <f>F319</f>
        <v>0</v>
      </c>
      <c r="G318" s="91">
        <f t="shared" si="67"/>
        <v>60000</v>
      </c>
      <c r="H318" s="91">
        <f t="shared" si="67"/>
        <v>60000</v>
      </c>
    </row>
    <row r="319" spans="2:8" x14ac:dyDescent="0.25">
      <c r="B319" s="93"/>
      <c r="C319" s="94"/>
      <c r="D319" s="94">
        <v>426</v>
      </c>
      <c r="E319" s="95" t="s">
        <v>209</v>
      </c>
      <c r="F319" s="96"/>
      <c r="G319" s="96">
        <v>60000</v>
      </c>
      <c r="H319" s="96">
        <f>F319+G319</f>
        <v>60000</v>
      </c>
    </row>
    <row r="320" spans="2:8" ht="26.25" x14ac:dyDescent="0.25">
      <c r="B320" s="82"/>
      <c r="C320" s="82"/>
      <c r="D320" s="83"/>
      <c r="E320" s="84" t="s">
        <v>213</v>
      </c>
      <c r="F320" s="85">
        <f>F322</f>
        <v>70000</v>
      </c>
      <c r="G320" s="85">
        <f t="shared" ref="G320:H320" si="68">G322</f>
        <v>0</v>
      </c>
      <c r="H320" s="85">
        <f t="shared" si="68"/>
        <v>70000</v>
      </c>
    </row>
    <row r="321" spans="2:8" x14ac:dyDescent="0.25">
      <c r="B321" s="86"/>
      <c r="C321" s="86"/>
      <c r="D321" s="87"/>
      <c r="E321" s="115" t="s">
        <v>30</v>
      </c>
      <c r="F321" s="88"/>
      <c r="G321" s="88"/>
      <c r="H321" s="88"/>
    </row>
    <row r="322" spans="2:8" x14ac:dyDescent="0.25">
      <c r="B322" s="89">
        <v>3</v>
      </c>
      <c r="C322" s="89"/>
      <c r="D322" s="89"/>
      <c r="E322" s="90" t="s">
        <v>6</v>
      </c>
      <c r="F322" s="91">
        <f>F323</f>
        <v>70000</v>
      </c>
      <c r="G322" s="91">
        <f t="shared" ref="G322:H323" si="69">G323</f>
        <v>0</v>
      </c>
      <c r="H322" s="91">
        <f t="shared" si="69"/>
        <v>70000</v>
      </c>
    </row>
    <row r="323" spans="2:8" x14ac:dyDescent="0.25">
      <c r="B323" s="89"/>
      <c r="C323" s="89">
        <v>32</v>
      </c>
      <c r="D323" s="89"/>
      <c r="E323" s="90" t="s">
        <v>138</v>
      </c>
      <c r="F323" s="91">
        <f>F324</f>
        <v>70000</v>
      </c>
      <c r="G323" s="91">
        <f t="shared" si="69"/>
        <v>0</v>
      </c>
      <c r="H323" s="91">
        <f t="shared" si="69"/>
        <v>70000</v>
      </c>
    </row>
    <row r="324" spans="2:8" x14ac:dyDescent="0.25">
      <c r="B324" s="93"/>
      <c r="C324" s="94"/>
      <c r="D324" s="94">
        <v>323</v>
      </c>
      <c r="E324" s="95" t="s">
        <v>13</v>
      </c>
      <c r="F324" s="96">
        <v>70000</v>
      </c>
      <c r="G324" s="96"/>
      <c r="H324" s="96">
        <f>F324+G324</f>
        <v>70000</v>
      </c>
    </row>
    <row r="325" spans="2:8" ht="26.25" x14ac:dyDescent="0.25">
      <c r="B325" s="57"/>
      <c r="C325" s="57"/>
      <c r="D325" s="57"/>
      <c r="E325" s="58" t="s">
        <v>55</v>
      </c>
      <c r="F325" s="23">
        <f>F327</f>
        <v>443667</v>
      </c>
      <c r="G325" s="23">
        <f t="shared" ref="G325:H325" si="70">G327</f>
        <v>25365</v>
      </c>
      <c r="H325" s="23">
        <f t="shared" si="70"/>
        <v>469032</v>
      </c>
    </row>
    <row r="326" spans="2:8" ht="26.25" x14ac:dyDescent="0.25">
      <c r="B326" s="57"/>
      <c r="C326" s="57"/>
      <c r="D326" s="57"/>
      <c r="E326" s="58" t="s">
        <v>56</v>
      </c>
      <c r="F326" s="23"/>
      <c r="G326" s="23"/>
      <c r="H326" s="23"/>
    </row>
    <row r="327" spans="2:8" ht="26.25" x14ac:dyDescent="0.25">
      <c r="B327" s="59"/>
      <c r="C327" s="59"/>
      <c r="D327" s="59"/>
      <c r="E327" s="60" t="s">
        <v>120</v>
      </c>
      <c r="F327" s="27">
        <f>F328+F334+F340+F350+F355+F360+F345</f>
        <v>443667</v>
      </c>
      <c r="G327" s="27">
        <f>G328+G334+G340+G350+G355+G360+G345</f>
        <v>25365</v>
      </c>
      <c r="H327" s="27">
        <f>H328+H334+H340+H350+H355+H360+H345</f>
        <v>469032</v>
      </c>
    </row>
    <row r="328" spans="2:8" x14ac:dyDescent="0.25">
      <c r="B328" s="35"/>
      <c r="C328" s="35"/>
      <c r="D328" s="35"/>
      <c r="E328" s="29" t="s">
        <v>57</v>
      </c>
      <c r="F328" s="30">
        <f>F330</f>
        <v>140000</v>
      </c>
      <c r="G328" s="30">
        <f>G330</f>
        <v>0</v>
      </c>
      <c r="H328" s="30">
        <f>H330</f>
        <v>140000</v>
      </c>
    </row>
    <row r="329" spans="2:8" x14ac:dyDescent="0.25">
      <c r="B329" s="35"/>
      <c r="C329" s="35"/>
      <c r="D329" s="35"/>
      <c r="E329" s="31" t="s">
        <v>178</v>
      </c>
      <c r="F329" s="32"/>
      <c r="G329" s="32"/>
      <c r="H329" s="32"/>
    </row>
    <row r="330" spans="2:8" x14ac:dyDescent="0.25">
      <c r="B330" s="33">
        <v>3</v>
      </c>
      <c r="C330" s="33"/>
      <c r="D330" s="33"/>
      <c r="E330" s="33" t="s">
        <v>6</v>
      </c>
      <c r="F330" s="9">
        <f>F331</f>
        <v>140000</v>
      </c>
      <c r="G330" s="9">
        <f t="shared" ref="G330:H330" si="71">G331</f>
        <v>0</v>
      </c>
      <c r="H330" s="9">
        <f t="shared" si="71"/>
        <v>140000</v>
      </c>
    </row>
    <row r="331" spans="2:8" x14ac:dyDescent="0.25">
      <c r="B331" s="33"/>
      <c r="C331" s="33">
        <v>32</v>
      </c>
      <c r="D331" s="33"/>
      <c r="E331" s="33" t="s">
        <v>11</v>
      </c>
      <c r="F331" s="9">
        <f>F332+F333</f>
        <v>140000</v>
      </c>
      <c r="G331" s="9">
        <f t="shared" ref="G331:H331" si="72">G332+G333</f>
        <v>0</v>
      </c>
      <c r="H331" s="9">
        <f t="shared" si="72"/>
        <v>140000</v>
      </c>
    </row>
    <row r="332" spans="2:8" x14ac:dyDescent="0.25">
      <c r="B332" s="34"/>
      <c r="C332" s="34"/>
      <c r="D332" s="34">
        <v>322</v>
      </c>
      <c r="E332" s="34" t="s">
        <v>22</v>
      </c>
      <c r="F332" s="11">
        <v>100000</v>
      </c>
      <c r="G332" s="11"/>
      <c r="H332" s="11">
        <f>F332+G332</f>
        <v>100000</v>
      </c>
    </row>
    <row r="333" spans="2:8" x14ac:dyDescent="0.25">
      <c r="B333" s="34"/>
      <c r="C333" s="34"/>
      <c r="D333" s="34">
        <v>323</v>
      </c>
      <c r="E333" s="34" t="s">
        <v>13</v>
      </c>
      <c r="F333" s="11">
        <v>40000</v>
      </c>
      <c r="G333" s="11"/>
      <c r="H333" s="11">
        <f>F333+G333</f>
        <v>40000</v>
      </c>
    </row>
    <row r="334" spans="2:8" x14ac:dyDescent="0.25">
      <c r="B334" s="35"/>
      <c r="C334" s="35"/>
      <c r="D334" s="35"/>
      <c r="E334" s="29" t="s">
        <v>58</v>
      </c>
      <c r="F334" s="30">
        <f>F336</f>
        <v>130079</v>
      </c>
      <c r="G334" s="30">
        <f>G336</f>
        <v>48274</v>
      </c>
      <c r="H334" s="30">
        <f>H336</f>
        <v>178353</v>
      </c>
    </row>
    <row r="335" spans="2:8" x14ac:dyDescent="0.25">
      <c r="B335" s="35"/>
      <c r="C335" s="35"/>
      <c r="D335" s="35"/>
      <c r="E335" s="31" t="s">
        <v>30</v>
      </c>
      <c r="F335" s="32"/>
      <c r="G335" s="32"/>
      <c r="H335" s="32"/>
    </row>
    <row r="336" spans="2:8" x14ac:dyDescent="0.25">
      <c r="B336" s="33">
        <v>3</v>
      </c>
      <c r="C336" s="33"/>
      <c r="D336" s="33"/>
      <c r="E336" s="33" t="s">
        <v>6</v>
      </c>
      <c r="F336" s="9">
        <f>F337</f>
        <v>130079</v>
      </c>
      <c r="G336" s="9">
        <f t="shared" ref="G336:H336" si="73">G337</f>
        <v>48274</v>
      </c>
      <c r="H336" s="9">
        <f t="shared" si="73"/>
        <v>178353</v>
      </c>
    </row>
    <row r="337" spans="2:8" x14ac:dyDescent="0.25">
      <c r="B337" s="33"/>
      <c r="C337" s="33">
        <v>32</v>
      </c>
      <c r="D337" s="33"/>
      <c r="E337" s="33" t="s">
        <v>11</v>
      </c>
      <c r="F337" s="9">
        <f>F338+F339</f>
        <v>130079</v>
      </c>
      <c r="G337" s="9">
        <f>G338+G339</f>
        <v>48274</v>
      </c>
      <c r="H337" s="9">
        <f>H338+H339</f>
        <v>178353</v>
      </c>
    </row>
    <row r="338" spans="2:8" x14ac:dyDescent="0.25">
      <c r="B338" s="34"/>
      <c r="C338" s="34"/>
      <c r="D338" s="34">
        <v>323</v>
      </c>
      <c r="E338" s="34" t="s">
        <v>13</v>
      </c>
      <c r="F338" s="11">
        <f>12000+40000+3000+5000+10000+24000+1079+20000+15000</f>
        <v>130079</v>
      </c>
      <c r="G338" s="11">
        <f>-226+3000+4500</f>
        <v>7274</v>
      </c>
      <c r="H338" s="11">
        <f>F338+G338</f>
        <v>137353</v>
      </c>
    </row>
    <row r="339" spans="2:8" x14ac:dyDescent="0.25">
      <c r="B339" s="34"/>
      <c r="C339" s="34"/>
      <c r="D339" s="34">
        <v>329</v>
      </c>
      <c r="E339" s="34" t="s">
        <v>14</v>
      </c>
      <c r="F339" s="11"/>
      <c r="G339" s="11">
        <v>41000</v>
      </c>
      <c r="H339" s="11">
        <f>F339+G339</f>
        <v>41000</v>
      </c>
    </row>
    <row r="340" spans="2:8" x14ac:dyDescent="0.25">
      <c r="B340" s="35"/>
      <c r="C340" s="35"/>
      <c r="D340" s="35"/>
      <c r="E340" s="29" t="s">
        <v>215</v>
      </c>
      <c r="F340" s="30">
        <f>F342</f>
        <v>20000</v>
      </c>
      <c r="G340" s="30">
        <f t="shared" ref="G340:H340" si="74">G342</f>
        <v>0</v>
      </c>
      <c r="H340" s="30">
        <f t="shared" si="74"/>
        <v>20000</v>
      </c>
    </row>
    <row r="341" spans="2:8" x14ac:dyDescent="0.25">
      <c r="B341" s="35"/>
      <c r="C341" s="35"/>
      <c r="D341" s="35"/>
      <c r="E341" s="31" t="s">
        <v>30</v>
      </c>
      <c r="F341" s="32"/>
      <c r="G341" s="32"/>
      <c r="H341" s="32"/>
    </row>
    <row r="342" spans="2:8" x14ac:dyDescent="0.25">
      <c r="B342" s="33">
        <v>4</v>
      </c>
      <c r="C342" s="33"/>
      <c r="D342" s="33"/>
      <c r="E342" s="33" t="s">
        <v>184</v>
      </c>
      <c r="F342" s="9">
        <f>F343</f>
        <v>20000</v>
      </c>
      <c r="G342" s="9">
        <f t="shared" ref="G342:H342" si="75">G343</f>
        <v>0</v>
      </c>
      <c r="H342" s="9">
        <f t="shared" si="75"/>
        <v>20000</v>
      </c>
    </row>
    <row r="343" spans="2:8" ht="26.25" x14ac:dyDescent="0.25">
      <c r="B343" s="33"/>
      <c r="C343" s="33">
        <v>42</v>
      </c>
      <c r="D343" s="33"/>
      <c r="E343" s="44" t="s">
        <v>41</v>
      </c>
      <c r="F343" s="9">
        <f>F344</f>
        <v>20000</v>
      </c>
      <c r="G343" s="9">
        <f t="shared" ref="G343:H343" si="76">G344</f>
        <v>0</v>
      </c>
      <c r="H343" s="9">
        <f t="shared" si="76"/>
        <v>20000</v>
      </c>
    </row>
    <row r="344" spans="2:8" x14ac:dyDescent="0.25">
      <c r="B344" s="34"/>
      <c r="C344" s="34"/>
      <c r="D344" s="34">
        <v>422</v>
      </c>
      <c r="E344" s="34" t="s">
        <v>68</v>
      </c>
      <c r="F344" s="11">
        <v>20000</v>
      </c>
      <c r="G344" s="11"/>
      <c r="H344" s="11">
        <f>F344+G344</f>
        <v>20000</v>
      </c>
    </row>
    <row r="345" spans="2:8" x14ac:dyDescent="0.25">
      <c r="B345" s="38"/>
      <c r="C345" s="38"/>
      <c r="D345" s="38"/>
      <c r="E345" s="107" t="s">
        <v>216</v>
      </c>
      <c r="F345" s="108">
        <f>F347</f>
        <v>70000</v>
      </c>
      <c r="G345" s="108">
        <f t="shared" ref="G345:H345" si="77">G347</f>
        <v>0</v>
      </c>
      <c r="H345" s="108">
        <f t="shared" si="77"/>
        <v>70000</v>
      </c>
    </row>
    <row r="346" spans="2:8" x14ac:dyDescent="0.25">
      <c r="B346" s="35"/>
      <c r="C346" s="35"/>
      <c r="D346" s="35"/>
      <c r="E346" s="31" t="s">
        <v>180</v>
      </c>
      <c r="F346" s="32"/>
      <c r="G346" s="32"/>
      <c r="H346" s="32"/>
    </row>
    <row r="347" spans="2:8" x14ac:dyDescent="0.25">
      <c r="B347" s="33">
        <v>4</v>
      </c>
      <c r="C347" s="33"/>
      <c r="D347" s="33"/>
      <c r="E347" s="33" t="s">
        <v>184</v>
      </c>
      <c r="F347" s="9">
        <f>F348</f>
        <v>70000</v>
      </c>
      <c r="G347" s="9">
        <f t="shared" ref="G347:H348" si="78">G348</f>
        <v>0</v>
      </c>
      <c r="H347" s="9">
        <f t="shared" si="78"/>
        <v>70000</v>
      </c>
    </row>
    <row r="348" spans="2:8" ht="26.25" x14ac:dyDescent="0.25">
      <c r="B348" s="33"/>
      <c r="C348" s="33">
        <v>42</v>
      </c>
      <c r="D348" s="33"/>
      <c r="E348" s="44" t="s">
        <v>41</v>
      </c>
      <c r="F348" s="9">
        <f>F349</f>
        <v>70000</v>
      </c>
      <c r="G348" s="9">
        <f t="shared" si="78"/>
        <v>0</v>
      </c>
      <c r="H348" s="9">
        <f t="shared" si="78"/>
        <v>70000</v>
      </c>
    </row>
    <row r="349" spans="2:8" x14ac:dyDescent="0.25">
      <c r="B349" s="34"/>
      <c r="C349" s="34"/>
      <c r="D349" s="34">
        <v>422</v>
      </c>
      <c r="E349" s="34" t="s">
        <v>68</v>
      </c>
      <c r="F349" s="11">
        <v>70000</v>
      </c>
      <c r="G349" s="11"/>
      <c r="H349" s="11">
        <f>F349+G349</f>
        <v>70000</v>
      </c>
    </row>
    <row r="350" spans="2:8" ht="26.25" x14ac:dyDescent="0.25">
      <c r="B350" s="35"/>
      <c r="C350" s="35"/>
      <c r="D350" s="35"/>
      <c r="E350" s="47" t="s">
        <v>155</v>
      </c>
      <c r="F350" s="30">
        <f>F352</f>
        <v>8588</v>
      </c>
      <c r="G350" s="30">
        <f t="shared" ref="G350:H350" si="79">G352</f>
        <v>-7904</v>
      </c>
      <c r="H350" s="30">
        <f t="shared" si="79"/>
        <v>684</v>
      </c>
    </row>
    <row r="351" spans="2:8" x14ac:dyDescent="0.25">
      <c r="B351" s="35"/>
      <c r="C351" s="35"/>
      <c r="D351" s="35"/>
      <c r="E351" s="31" t="s">
        <v>30</v>
      </c>
      <c r="F351" s="32"/>
      <c r="G351" s="32"/>
      <c r="H351" s="32"/>
    </row>
    <row r="352" spans="2:8" x14ac:dyDescent="0.25">
      <c r="B352" s="33">
        <v>4</v>
      </c>
      <c r="C352" s="33"/>
      <c r="D352" s="33"/>
      <c r="E352" s="33" t="s">
        <v>184</v>
      </c>
      <c r="F352" s="9">
        <f>F353</f>
        <v>8588</v>
      </c>
      <c r="G352" s="9">
        <f t="shared" ref="G352:H353" si="80">G353</f>
        <v>-7904</v>
      </c>
      <c r="H352" s="9">
        <f t="shared" si="80"/>
        <v>684</v>
      </c>
    </row>
    <row r="353" spans="2:8" ht="26.25" x14ac:dyDescent="0.25">
      <c r="B353" s="33"/>
      <c r="C353" s="33">
        <v>42</v>
      </c>
      <c r="D353" s="33"/>
      <c r="E353" s="44" t="s">
        <v>41</v>
      </c>
      <c r="F353" s="9">
        <f>F354</f>
        <v>8588</v>
      </c>
      <c r="G353" s="9">
        <f t="shared" si="80"/>
        <v>-7904</v>
      </c>
      <c r="H353" s="9">
        <f t="shared" si="80"/>
        <v>684</v>
      </c>
    </row>
    <row r="354" spans="2:8" x14ac:dyDescent="0.25">
      <c r="B354" s="34"/>
      <c r="C354" s="34"/>
      <c r="D354" s="34">
        <v>421</v>
      </c>
      <c r="E354" s="34" t="s">
        <v>52</v>
      </c>
      <c r="F354" s="11">
        <v>8588</v>
      </c>
      <c r="G354" s="11">
        <f>-8588+684</f>
        <v>-7904</v>
      </c>
      <c r="H354" s="11">
        <f>F354+G354</f>
        <v>684</v>
      </c>
    </row>
    <row r="355" spans="2:8" ht="26.25" x14ac:dyDescent="0.25">
      <c r="B355" s="35"/>
      <c r="C355" s="35"/>
      <c r="D355" s="35"/>
      <c r="E355" s="47" t="s">
        <v>137</v>
      </c>
      <c r="F355" s="30">
        <f>F357</f>
        <v>25000</v>
      </c>
      <c r="G355" s="30">
        <f t="shared" ref="G355:H355" si="81">G357</f>
        <v>0</v>
      </c>
      <c r="H355" s="30">
        <f t="shared" si="81"/>
        <v>25000</v>
      </c>
    </row>
    <row r="356" spans="2:8" x14ac:dyDescent="0.25">
      <c r="B356" s="35"/>
      <c r="C356" s="35"/>
      <c r="D356" s="35"/>
      <c r="E356" s="31" t="s">
        <v>30</v>
      </c>
      <c r="F356" s="32"/>
      <c r="G356" s="32"/>
      <c r="H356" s="32"/>
    </row>
    <row r="357" spans="2:8" x14ac:dyDescent="0.25">
      <c r="B357" s="33">
        <v>3</v>
      </c>
      <c r="C357" s="33"/>
      <c r="D357" s="33"/>
      <c r="E357" s="33" t="s">
        <v>6</v>
      </c>
      <c r="F357" s="9">
        <f>F358</f>
        <v>25000</v>
      </c>
      <c r="G357" s="9">
        <f t="shared" ref="G357:H357" si="82">G358</f>
        <v>0</v>
      </c>
      <c r="H357" s="9">
        <f t="shared" si="82"/>
        <v>25000</v>
      </c>
    </row>
    <row r="358" spans="2:8" x14ac:dyDescent="0.25">
      <c r="B358" s="33"/>
      <c r="C358" s="33">
        <v>32</v>
      </c>
      <c r="D358" s="33"/>
      <c r="E358" s="33" t="s">
        <v>11</v>
      </c>
      <c r="F358" s="9">
        <f>F359</f>
        <v>25000</v>
      </c>
      <c r="G358" s="9">
        <f>G359</f>
        <v>0</v>
      </c>
      <c r="H358" s="9">
        <f>H359</f>
        <v>25000</v>
      </c>
    </row>
    <row r="359" spans="2:8" x14ac:dyDescent="0.25">
      <c r="B359" s="34"/>
      <c r="C359" s="34"/>
      <c r="D359" s="34">
        <v>323</v>
      </c>
      <c r="E359" s="34" t="s">
        <v>13</v>
      </c>
      <c r="F359" s="11">
        <v>25000</v>
      </c>
      <c r="G359" s="11"/>
      <c r="H359" s="11">
        <f>F359+G359</f>
        <v>25000</v>
      </c>
    </row>
    <row r="360" spans="2:8" ht="26.25" x14ac:dyDescent="0.25">
      <c r="B360" s="35"/>
      <c r="C360" s="35"/>
      <c r="D360" s="35"/>
      <c r="E360" s="47" t="s">
        <v>212</v>
      </c>
      <c r="F360" s="30">
        <f>F362</f>
        <v>50000</v>
      </c>
      <c r="G360" s="30">
        <f t="shared" ref="G360:H360" si="83">G362</f>
        <v>-15005</v>
      </c>
      <c r="H360" s="30">
        <f t="shared" si="83"/>
        <v>34995</v>
      </c>
    </row>
    <row r="361" spans="2:8" x14ac:dyDescent="0.25">
      <c r="B361" s="35"/>
      <c r="C361" s="35"/>
      <c r="D361" s="35"/>
      <c r="E361" s="31" t="s">
        <v>30</v>
      </c>
      <c r="F361" s="32"/>
      <c r="G361" s="32"/>
      <c r="H361" s="32"/>
    </row>
    <row r="362" spans="2:8" x14ac:dyDescent="0.25">
      <c r="B362" s="33">
        <v>3</v>
      </c>
      <c r="C362" s="33"/>
      <c r="D362" s="33"/>
      <c r="E362" s="33" t="s">
        <v>6</v>
      </c>
      <c r="F362" s="9">
        <f>F363</f>
        <v>50000</v>
      </c>
      <c r="G362" s="9">
        <f t="shared" ref="G362:H363" si="84">G363</f>
        <v>-15005</v>
      </c>
      <c r="H362" s="9">
        <f t="shared" si="84"/>
        <v>34995</v>
      </c>
    </row>
    <row r="363" spans="2:8" x14ac:dyDescent="0.25">
      <c r="B363" s="33"/>
      <c r="C363" s="33">
        <v>32</v>
      </c>
      <c r="D363" s="33"/>
      <c r="E363" s="33" t="s">
        <v>11</v>
      </c>
      <c r="F363" s="9">
        <f>F364</f>
        <v>50000</v>
      </c>
      <c r="G363" s="9">
        <f t="shared" si="84"/>
        <v>-15005</v>
      </c>
      <c r="H363" s="9">
        <f t="shared" si="84"/>
        <v>34995</v>
      </c>
    </row>
    <row r="364" spans="2:8" x14ac:dyDescent="0.25">
      <c r="B364" s="34"/>
      <c r="C364" s="34"/>
      <c r="D364" s="34">
        <v>323</v>
      </c>
      <c r="E364" s="34" t="s">
        <v>13</v>
      </c>
      <c r="F364" s="11">
        <v>50000</v>
      </c>
      <c r="G364" s="11">
        <f>-15000-5</f>
        <v>-15005</v>
      </c>
      <c r="H364" s="11">
        <f>F364+G364</f>
        <v>34995</v>
      </c>
    </row>
    <row r="365" spans="2:8" ht="26.25" x14ac:dyDescent="0.25">
      <c r="B365" s="57"/>
      <c r="C365" s="57"/>
      <c r="D365" s="57"/>
      <c r="E365" s="58" t="s">
        <v>59</v>
      </c>
      <c r="F365" s="23">
        <f>F367</f>
        <v>328000</v>
      </c>
      <c r="G365" s="23">
        <f t="shared" ref="G365:H365" si="85">G367</f>
        <v>19201</v>
      </c>
      <c r="H365" s="23">
        <f t="shared" si="85"/>
        <v>347201</v>
      </c>
    </row>
    <row r="366" spans="2:8" ht="26.25" x14ac:dyDescent="0.25">
      <c r="B366" s="57"/>
      <c r="C366" s="57"/>
      <c r="D366" s="57"/>
      <c r="E366" s="58" t="s">
        <v>60</v>
      </c>
      <c r="F366" s="23"/>
      <c r="G366" s="23"/>
      <c r="H366" s="23"/>
    </row>
    <row r="367" spans="2:8" ht="39" x14ac:dyDescent="0.25">
      <c r="B367" s="59"/>
      <c r="C367" s="59"/>
      <c r="D367" s="59"/>
      <c r="E367" s="60" t="s">
        <v>61</v>
      </c>
      <c r="F367" s="27">
        <f>F368+F373+F383+F378+F388+F396</f>
        <v>328000</v>
      </c>
      <c r="G367" s="27">
        <f>G368+G373+G383+G378+G388+G396</f>
        <v>19201</v>
      </c>
      <c r="H367" s="27">
        <f>H368+H373+H383+H378+H388+H396</f>
        <v>347201</v>
      </c>
    </row>
    <row r="368" spans="2:8" x14ac:dyDescent="0.25">
      <c r="B368" s="35"/>
      <c r="C368" s="35"/>
      <c r="D368" s="35"/>
      <c r="E368" s="47" t="s">
        <v>62</v>
      </c>
      <c r="F368" s="30">
        <f>F370</f>
        <v>109000</v>
      </c>
      <c r="G368" s="30">
        <f>G370</f>
        <v>0</v>
      </c>
      <c r="H368" s="30">
        <f>H370</f>
        <v>109000</v>
      </c>
    </row>
    <row r="369" spans="2:8" x14ac:dyDescent="0.25">
      <c r="B369" s="35"/>
      <c r="C369" s="35"/>
      <c r="D369" s="35"/>
      <c r="E369" s="31" t="s">
        <v>30</v>
      </c>
      <c r="F369" s="32"/>
      <c r="G369" s="32"/>
      <c r="H369" s="32"/>
    </row>
    <row r="370" spans="2:8" x14ac:dyDescent="0.25">
      <c r="B370" s="33">
        <v>3</v>
      </c>
      <c r="C370" s="33"/>
      <c r="D370" s="33"/>
      <c r="E370" s="33" t="s">
        <v>6</v>
      </c>
      <c r="F370" s="9">
        <f>F371</f>
        <v>109000</v>
      </c>
      <c r="G370" s="9">
        <f t="shared" ref="G370:H371" si="86">G371</f>
        <v>0</v>
      </c>
      <c r="H370" s="9">
        <f t="shared" si="86"/>
        <v>109000</v>
      </c>
    </row>
    <row r="371" spans="2:8" x14ac:dyDescent="0.25">
      <c r="B371" s="33"/>
      <c r="C371" s="33">
        <v>38</v>
      </c>
      <c r="D371" s="33"/>
      <c r="E371" s="33" t="s">
        <v>15</v>
      </c>
      <c r="F371" s="9">
        <f>F372</f>
        <v>109000</v>
      </c>
      <c r="G371" s="9">
        <f t="shared" si="86"/>
        <v>0</v>
      </c>
      <c r="H371" s="9">
        <f t="shared" si="86"/>
        <v>109000</v>
      </c>
    </row>
    <row r="372" spans="2:8" x14ac:dyDescent="0.25">
      <c r="B372" s="34"/>
      <c r="C372" s="34"/>
      <c r="D372" s="34">
        <v>381</v>
      </c>
      <c r="E372" s="34" t="s">
        <v>31</v>
      </c>
      <c r="F372" s="11">
        <f>40000+17000+20000+6600+10400+15000</f>
        <v>109000</v>
      </c>
      <c r="G372" s="11"/>
      <c r="H372" s="11">
        <f>F372+G372</f>
        <v>109000</v>
      </c>
    </row>
    <row r="373" spans="2:8" x14ac:dyDescent="0.25">
      <c r="B373" s="35"/>
      <c r="C373" s="35"/>
      <c r="D373" s="35"/>
      <c r="E373" s="47" t="s">
        <v>121</v>
      </c>
      <c r="F373" s="30">
        <f>F375</f>
        <v>29000</v>
      </c>
      <c r="G373" s="30">
        <f>G375</f>
        <v>0</v>
      </c>
      <c r="H373" s="30">
        <f>H375</f>
        <v>29000</v>
      </c>
    </row>
    <row r="374" spans="2:8" x14ac:dyDescent="0.25">
      <c r="B374" s="35"/>
      <c r="C374" s="35"/>
      <c r="D374" s="35"/>
      <c r="E374" s="31" t="s">
        <v>30</v>
      </c>
      <c r="F374" s="32"/>
      <c r="G374" s="32"/>
      <c r="H374" s="32"/>
    </row>
    <row r="375" spans="2:8" x14ac:dyDescent="0.25">
      <c r="B375" s="33">
        <v>3</v>
      </c>
      <c r="C375" s="33"/>
      <c r="D375" s="33"/>
      <c r="E375" s="33" t="s">
        <v>6</v>
      </c>
      <c r="F375" s="9">
        <f>F376</f>
        <v>29000</v>
      </c>
      <c r="G375" s="9">
        <f t="shared" ref="G375:H376" si="87">G376</f>
        <v>0</v>
      </c>
      <c r="H375" s="9">
        <f t="shared" si="87"/>
        <v>29000</v>
      </c>
    </row>
    <row r="376" spans="2:8" x14ac:dyDescent="0.25">
      <c r="B376" s="33"/>
      <c r="C376" s="33">
        <v>38</v>
      </c>
      <c r="D376" s="33"/>
      <c r="E376" s="33" t="s">
        <v>15</v>
      </c>
      <c r="F376" s="9">
        <f>F377</f>
        <v>29000</v>
      </c>
      <c r="G376" s="9">
        <f t="shared" si="87"/>
        <v>0</v>
      </c>
      <c r="H376" s="9">
        <f t="shared" si="87"/>
        <v>29000</v>
      </c>
    </row>
    <row r="377" spans="2:8" x14ac:dyDescent="0.25">
      <c r="B377" s="34"/>
      <c r="C377" s="34"/>
      <c r="D377" s="34">
        <v>381</v>
      </c>
      <c r="E377" s="34" t="s">
        <v>31</v>
      </c>
      <c r="F377" s="11">
        <f>20000+4000+5000</f>
        <v>29000</v>
      </c>
      <c r="G377" s="11"/>
      <c r="H377" s="11">
        <f>F377+G377</f>
        <v>29000</v>
      </c>
    </row>
    <row r="378" spans="2:8" x14ac:dyDescent="0.25">
      <c r="B378" s="35"/>
      <c r="C378" s="35"/>
      <c r="D378" s="35"/>
      <c r="E378" s="75" t="s">
        <v>122</v>
      </c>
      <c r="F378" s="73">
        <f>F380</f>
        <v>7000</v>
      </c>
      <c r="G378" s="73">
        <f>G380</f>
        <v>0</v>
      </c>
      <c r="H378" s="73">
        <f>H380</f>
        <v>7000</v>
      </c>
    </row>
    <row r="379" spans="2:8" x14ac:dyDescent="0.25">
      <c r="B379" s="38"/>
      <c r="C379" s="38"/>
      <c r="D379" s="38"/>
      <c r="E379" s="31" t="s">
        <v>30</v>
      </c>
      <c r="F379" s="17"/>
      <c r="G379" s="17"/>
      <c r="H379" s="17"/>
    </row>
    <row r="380" spans="2:8" x14ac:dyDescent="0.25">
      <c r="B380" s="33">
        <v>3</v>
      </c>
      <c r="C380" s="33"/>
      <c r="D380" s="33"/>
      <c r="E380" s="33" t="s">
        <v>6</v>
      </c>
      <c r="F380" s="9">
        <f t="shared" ref="F380:H381" si="88">F381</f>
        <v>7000</v>
      </c>
      <c r="G380" s="9">
        <f t="shared" si="88"/>
        <v>0</v>
      </c>
      <c r="H380" s="9">
        <f t="shared" si="88"/>
        <v>7000</v>
      </c>
    </row>
    <row r="381" spans="2:8" x14ac:dyDescent="0.25">
      <c r="B381" s="34"/>
      <c r="C381" s="33">
        <v>32</v>
      </c>
      <c r="D381" s="34"/>
      <c r="E381" s="33" t="s">
        <v>11</v>
      </c>
      <c r="F381" s="9">
        <f t="shared" si="88"/>
        <v>7000</v>
      </c>
      <c r="G381" s="9">
        <f t="shared" si="88"/>
        <v>0</v>
      </c>
      <c r="H381" s="9">
        <f t="shared" si="88"/>
        <v>7000</v>
      </c>
    </row>
    <row r="382" spans="2:8" x14ac:dyDescent="0.25">
      <c r="B382" s="34"/>
      <c r="C382" s="34"/>
      <c r="D382" s="34">
        <v>323</v>
      </c>
      <c r="E382" s="34" t="s">
        <v>13</v>
      </c>
      <c r="F382" s="11">
        <v>7000</v>
      </c>
      <c r="G382" s="11"/>
      <c r="H382" s="11">
        <f>F382+G382</f>
        <v>7000</v>
      </c>
    </row>
    <row r="383" spans="2:8" x14ac:dyDescent="0.25">
      <c r="B383" s="35"/>
      <c r="C383" s="35"/>
      <c r="D383" s="35"/>
      <c r="E383" s="47" t="s">
        <v>63</v>
      </c>
      <c r="F383" s="30">
        <f>F385</f>
        <v>13000</v>
      </c>
      <c r="G383" s="30">
        <f>G385</f>
        <v>0</v>
      </c>
      <c r="H383" s="30">
        <f>H385</f>
        <v>13000</v>
      </c>
    </row>
    <row r="384" spans="2:8" x14ac:dyDescent="0.25">
      <c r="B384" s="35"/>
      <c r="C384" s="35"/>
      <c r="D384" s="35"/>
      <c r="E384" s="31" t="s">
        <v>30</v>
      </c>
      <c r="F384" s="32"/>
      <c r="G384" s="32"/>
      <c r="H384" s="32"/>
    </row>
    <row r="385" spans="1:8" x14ac:dyDescent="0.25">
      <c r="B385" s="33">
        <v>3</v>
      </c>
      <c r="C385" s="33"/>
      <c r="D385" s="33"/>
      <c r="E385" s="33" t="s">
        <v>6</v>
      </c>
      <c r="F385" s="9">
        <f>F386</f>
        <v>13000</v>
      </c>
      <c r="G385" s="9">
        <f t="shared" ref="G385:H386" si="89">G386</f>
        <v>0</v>
      </c>
      <c r="H385" s="9">
        <f t="shared" si="89"/>
        <v>13000</v>
      </c>
    </row>
    <row r="386" spans="1:8" x14ac:dyDescent="0.25">
      <c r="B386" s="33"/>
      <c r="C386" s="33">
        <v>38</v>
      </c>
      <c r="D386" s="33"/>
      <c r="E386" s="33" t="s">
        <v>15</v>
      </c>
      <c r="F386" s="9">
        <f>F387</f>
        <v>13000</v>
      </c>
      <c r="G386" s="9">
        <f t="shared" si="89"/>
        <v>0</v>
      </c>
      <c r="H386" s="9">
        <f t="shared" si="89"/>
        <v>13000</v>
      </c>
    </row>
    <row r="387" spans="1:8" x14ac:dyDescent="0.25">
      <c r="B387" s="34"/>
      <c r="C387" s="34"/>
      <c r="D387" s="34">
        <v>381</v>
      </c>
      <c r="E387" s="34" t="s">
        <v>31</v>
      </c>
      <c r="F387" s="11">
        <f>10000+3000</f>
        <v>13000</v>
      </c>
      <c r="G387" s="11"/>
      <c r="H387" s="11">
        <f>F387+G387</f>
        <v>13000</v>
      </c>
    </row>
    <row r="388" spans="1:8" x14ac:dyDescent="0.25">
      <c r="B388" s="35"/>
      <c r="C388" s="35"/>
      <c r="D388" s="35"/>
      <c r="E388" s="102" t="s">
        <v>152</v>
      </c>
      <c r="F388" s="73">
        <f>F393+F390</f>
        <v>140000</v>
      </c>
      <c r="G388" s="73">
        <f t="shared" ref="G388" si="90">G393+G390</f>
        <v>4201</v>
      </c>
      <c r="H388" s="73">
        <f>H393+H390</f>
        <v>144201</v>
      </c>
    </row>
    <row r="389" spans="1:8" x14ac:dyDescent="0.25">
      <c r="B389" s="38"/>
      <c r="C389" s="38"/>
      <c r="D389" s="38"/>
      <c r="E389" s="120" t="s">
        <v>180</v>
      </c>
      <c r="F389" s="17"/>
      <c r="G389" s="17"/>
      <c r="H389" s="17"/>
    </row>
    <row r="390" spans="1:8" x14ac:dyDescent="0.25">
      <c r="A390" s="139"/>
      <c r="B390" s="33">
        <v>3</v>
      </c>
      <c r="C390" s="33"/>
      <c r="D390" s="33"/>
      <c r="E390" s="33" t="s">
        <v>6</v>
      </c>
      <c r="F390" s="9">
        <f>F391</f>
        <v>0</v>
      </c>
      <c r="G390" s="9">
        <f t="shared" ref="G390:H390" si="91">G391</f>
        <v>5400</v>
      </c>
      <c r="H390" s="9">
        <f t="shared" si="91"/>
        <v>5400</v>
      </c>
    </row>
    <row r="391" spans="1:8" x14ac:dyDescent="0.25">
      <c r="A391" s="139"/>
      <c r="B391" s="33"/>
      <c r="C391" s="33">
        <v>32</v>
      </c>
      <c r="D391" s="33"/>
      <c r="E391" s="33" t="s">
        <v>11</v>
      </c>
      <c r="F391" s="9">
        <f>F392</f>
        <v>0</v>
      </c>
      <c r="G391" s="9">
        <f t="shared" ref="G391:H391" si="92">G392</f>
        <v>5400</v>
      </c>
      <c r="H391" s="9">
        <f t="shared" si="92"/>
        <v>5400</v>
      </c>
    </row>
    <row r="392" spans="1:8" x14ac:dyDescent="0.25">
      <c r="B392" s="34"/>
      <c r="C392" s="34"/>
      <c r="D392" s="34">
        <v>323</v>
      </c>
      <c r="E392" s="34" t="s">
        <v>13</v>
      </c>
      <c r="F392" s="11"/>
      <c r="G392" s="11">
        <f>1400+4000</f>
        <v>5400</v>
      </c>
      <c r="H392" s="11">
        <f>F392+G392</f>
        <v>5400</v>
      </c>
    </row>
    <row r="393" spans="1:8" x14ac:dyDescent="0.25">
      <c r="B393" s="33">
        <v>4</v>
      </c>
      <c r="C393" s="33"/>
      <c r="D393" s="33"/>
      <c r="E393" s="33" t="s">
        <v>184</v>
      </c>
      <c r="F393" s="9">
        <f t="shared" ref="F393:H394" si="93">F394</f>
        <v>140000</v>
      </c>
      <c r="G393" s="9">
        <f t="shared" si="93"/>
        <v>-1199</v>
      </c>
      <c r="H393" s="9">
        <f t="shared" si="93"/>
        <v>138801</v>
      </c>
    </row>
    <row r="394" spans="1:8" ht="23.25" x14ac:dyDescent="0.25">
      <c r="B394" s="34"/>
      <c r="C394" s="33">
        <v>42</v>
      </c>
      <c r="D394" s="34"/>
      <c r="E394" s="118" t="s">
        <v>41</v>
      </c>
      <c r="F394" s="9">
        <f>F395</f>
        <v>140000</v>
      </c>
      <c r="G394" s="9">
        <f t="shared" si="93"/>
        <v>-1199</v>
      </c>
      <c r="H394" s="9">
        <f t="shared" si="93"/>
        <v>138801</v>
      </c>
    </row>
    <row r="395" spans="1:8" x14ac:dyDescent="0.25">
      <c r="B395" s="34"/>
      <c r="C395" s="34"/>
      <c r="D395" s="34">
        <v>422</v>
      </c>
      <c r="E395" s="34" t="s">
        <v>68</v>
      </c>
      <c r="F395" s="11">
        <v>140000</v>
      </c>
      <c r="G395" s="11">
        <v>-1199</v>
      </c>
      <c r="H395" s="11">
        <f>F395+G395</f>
        <v>138801</v>
      </c>
    </row>
    <row r="396" spans="1:8" ht="23.25" x14ac:dyDescent="0.25">
      <c r="A396" s="139"/>
      <c r="B396" s="130"/>
      <c r="C396" s="128"/>
      <c r="D396" s="132"/>
      <c r="E396" s="119" t="s">
        <v>183</v>
      </c>
      <c r="F396" s="73">
        <f>F398+F402</f>
        <v>30000</v>
      </c>
      <c r="G396" s="73">
        <f t="shared" ref="G396:H396" si="94">G398+G402</f>
        <v>15000</v>
      </c>
      <c r="H396" s="73">
        <f t="shared" si="94"/>
        <v>45000</v>
      </c>
    </row>
    <row r="397" spans="1:8" x14ac:dyDescent="0.25">
      <c r="B397" s="131"/>
      <c r="C397" s="133"/>
      <c r="D397" s="129"/>
      <c r="E397" s="31" t="s">
        <v>30</v>
      </c>
      <c r="F397" s="134"/>
      <c r="G397" s="135"/>
      <c r="H397" s="135"/>
    </row>
    <row r="398" spans="1:8" x14ac:dyDescent="0.25">
      <c r="A398" s="139"/>
      <c r="B398" s="33">
        <v>3</v>
      </c>
      <c r="C398" s="33"/>
      <c r="D398" s="33"/>
      <c r="E398" s="33" t="s">
        <v>6</v>
      </c>
      <c r="F398" s="9">
        <f>F399</f>
        <v>10000</v>
      </c>
      <c r="G398" s="9">
        <f t="shared" ref="G398:H398" si="95">G399</f>
        <v>15000</v>
      </c>
      <c r="H398" s="9">
        <f t="shared" si="95"/>
        <v>25000</v>
      </c>
    </row>
    <row r="399" spans="1:8" x14ac:dyDescent="0.25">
      <c r="A399" s="139"/>
      <c r="B399" s="33"/>
      <c r="C399" s="33">
        <v>32</v>
      </c>
      <c r="D399" s="33"/>
      <c r="E399" s="33" t="s">
        <v>11</v>
      </c>
      <c r="F399" s="9">
        <f>F401+F400</f>
        <v>10000</v>
      </c>
      <c r="G399" s="9">
        <f t="shared" ref="G399:H399" si="96">G401+G400</f>
        <v>15000</v>
      </c>
      <c r="H399" s="9">
        <f t="shared" si="96"/>
        <v>25000</v>
      </c>
    </row>
    <row r="400" spans="1:8" x14ac:dyDescent="0.25">
      <c r="B400" s="34"/>
      <c r="C400" s="34"/>
      <c r="D400" s="34">
        <v>322</v>
      </c>
      <c r="E400" s="34" t="s">
        <v>154</v>
      </c>
      <c r="F400" s="11">
        <v>5000</v>
      </c>
      <c r="G400" s="11"/>
      <c r="H400" s="11">
        <f>F400+G400</f>
        <v>5000</v>
      </c>
    </row>
    <row r="401" spans="1:13" x14ac:dyDescent="0.25">
      <c r="B401" s="34"/>
      <c r="C401" s="34"/>
      <c r="D401" s="34">
        <v>323</v>
      </c>
      <c r="E401" s="34" t="s">
        <v>13</v>
      </c>
      <c r="F401" s="11">
        <v>5000</v>
      </c>
      <c r="G401" s="11">
        <v>15000</v>
      </c>
      <c r="H401" s="11">
        <f>F401+G401</f>
        <v>20000</v>
      </c>
    </row>
    <row r="402" spans="1:13" x14ac:dyDescent="0.25">
      <c r="A402" s="139"/>
      <c r="B402" s="33">
        <v>4</v>
      </c>
      <c r="C402" s="33"/>
      <c r="D402" s="33"/>
      <c r="E402" s="33" t="s">
        <v>184</v>
      </c>
      <c r="F402" s="9">
        <f>F403</f>
        <v>20000</v>
      </c>
      <c r="G402" s="9">
        <f t="shared" ref="G402:H403" si="97">G403</f>
        <v>0</v>
      </c>
      <c r="H402" s="9">
        <f t="shared" si="97"/>
        <v>20000</v>
      </c>
    </row>
    <row r="403" spans="1:13" ht="23.25" x14ac:dyDescent="0.25">
      <c r="A403" s="139"/>
      <c r="B403" s="33"/>
      <c r="C403" s="33">
        <v>42</v>
      </c>
      <c r="D403" s="33"/>
      <c r="E403" s="118" t="s">
        <v>41</v>
      </c>
      <c r="F403" s="9">
        <f>F404</f>
        <v>20000</v>
      </c>
      <c r="G403" s="9">
        <f t="shared" si="97"/>
        <v>0</v>
      </c>
      <c r="H403" s="9">
        <f t="shared" si="97"/>
        <v>20000</v>
      </c>
    </row>
    <row r="404" spans="1:13" x14ac:dyDescent="0.25">
      <c r="B404" s="34"/>
      <c r="C404" s="34"/>
      <c r="D404" s="34">
        <v>422</v>
      </c>
      <c r="E404" s="34" t="s">
        <v>68</v>
      </c>
      <c r="F404" s="11">
        <v>20000</v>
      </c>
      <c r="G404" s="11"/>
      <c r="H404" s="11">
        <f>F404+G404</f>
        <v>20000</v>
      </c>
    </row>
    <row r="405" spans="1:13" ht="26.25" x14ac:dyDescent="0.25">
      <c r="B405" s="57"/>
      <c r="C405" s="57"/>
      <c r="D405" s="57"/>
      <c r="E405" s="58" t="s">
        <v>64</v>
      </c>
      <c r="F405" s="23">
        <f>F407</f>
        <v>1230278</v>
      </c>
      <c r="G405" s="23">
        <f>G407</f>
        <v>28773</v>
      </c>
      <c r="H405" s="23">
        <f>H407</f>
        <v>1259051</v>
      </c>
    </row>
    <row r="406" spans="1:13" ht="26.25" x14ac:dyDescent="0.25">
      <c r="B406" s="57"/>
      <c r="C406" s="57"/>
      <c r="D406" s="57"/>
      <c r="E406" s="58" t="s">
        <v>65</v>
      </c>
      <c r="F406" s="23"/>
      <c r="G406" s="23"/>
      <c r="H406" s="23"/>
    </row>
    <row r="407" spans="1:13" x14ac:dyDescent="0.25">
      <c r="B407" s="59"/>
      <c r="C407" s="59"/>
      <c r="D407" s="59"/>
      <c r="E407" s="59" t="s">
        <v>66</v>
      </c>
      <c r="F407" s="27">
        <f>F408+F427+F435+F444+F418</f>
        <v>1230278</v>
      </c>
      <c r="G407" s="27">
        <f>G408+G427+G435+G444+G418</f>
        <v>28773</v>
      </c>
      <c r="H407" s="27">
        <f>H408+H427+H435+H444+H418</f>
        <v>1259051</v>
      </c>
    </row>
    <row r="408" spans="1:13" ht="26.25" x14ac:dyDescent="0.25">
      <c r="B408" s="50"/>
      <c r="C408" s="50"/>
      <c r="D408" s="50"/>
      <c r="E408" s="47" t="s">
        <v>123</v>
      </c>
      <c r="F408" s="76">
        <f>F411</f>
        <v>654112</v>
      </c>
      <c r="G408" s="76">
        <f>G411</f>
        <v>0</v>
      </c>
      <c r="H408" s="76">
        <f>H411</f>
        <v>654112</v>
      </c>
    </row>
    <row r="409" spans="1:13" ht="23.25" x14ac:dyDescent="0.25">
      <c r="B409" s="50"/>
      <c r="C409" s="50"/>
      <c r="D409" s="50"/>
      <c r="E409" s="77" t="s">
        <v>67</v>
      </c>
      <c r="F409" s="32"/>
      <c r="G409" s="32"/>
      <c r="H409" s="32"/>
    </row>
    <row r="410" spans="1:13" x14ac:dyDescent="0.25">
      <c r="B410" s="50"/>
      <c r="C410" s="50"/>
      <c r="D410" s="50"/>
      <c r="E410" s="31" t="s">
        <v>30</v>
      </c>
      <c r="F410" s="32"/>
      <c r="G410" s="32"/>
      <c r="H410" s="32"/>
    </row>
    <row r="411" spans="1:13" x14ac:dyDescent="0.25">
      <c r="B411" s="8">
        <v>3</v>
      </c>
      <c r="C411" s="8"/>
      <c r="D411" s="8"/>
      <c r="E411" s="8" t="s">
        <v>6</v>
      </c>
      <c r="F411" s="9">
        <f>F412+F416</f>
        <v>654112</v>
      </c>
      <c r="G411" s="9">
        <f>G412+G416</f>
        <v>0</v>
      </c>
      <c r="H411" s="9">
        <f>H412+H416</f>
        <v>654112</v>
      </c>
    </row>
    <row r="412" spans="1:13" x14ac:dyDescent="0.25">
      <c r="B412" s="8"/>
      <c r="C412" s="8">
        <v>31</v>
      </c>
      <c r="D412" s="8"/>
      <c r="E412" s="8" t="s">
        <v>7</v>
      </c>
      <c r="F412" s="9">
        <f>F413+F414+F415</f>
        <v>634112</v>
      </c>
      <c r="G412" s="9">
        <f t="shared" ref="G412:H412" si="98">G413+G414+G415</f>
        <v>0</v>
      </c>
      <c r="H412" s="9">
        <f t="shared" si="98"/>
        <v>634112</v>
      </c>
    </row>
    <row r="413" spans="1:13" x14ac:dyDescent="0.25">
      <c r="B413" s="10"/>
      <c r="C413" s="10"/>
      <c r="D413" s="10">
        <v>311</v>
      </c>
      <c r="E413" s="10" t="s">
        <v>21</v>
      </c>
      <c r="F413" s="11">
        <v>521000</v>
      </c>
      <c r="G413" s="11"/>
      <c r="H413" s="11">
        <f>F413+G413</f>
        <v>521000</v>
      </c>
      <c r="K413" s="109"/>
      <c r="L413" s="109"/>
      <c r="M413" s="109"/>
    </row>
    <row r="414" spans="1:13" x14ac:dyDescent="0.25">
      <c r="B414" s="10"/>
      <c r="C414" s="10"/>
      <c r="D414" s="10">
        <v>312</v>
      </c>
      <c r="E414" s="10" t="s">
        <v>9</v>
      </c>
      <c r="F414" s="11">
        <f>6000+8750+8750</f>
        <v>23500</v>
      </c>
      <c r="G414" s="11"/>
      <c r="H414" s="11">
        <f t="shared" ref="H414:H415" si="99">F414+G414</f>
        <v>23500</v>
      </c>
      <c r="K414" s="109"/>
      <c r="L414" s="109"/>
      <c r="M414" s="109"/>
    </row>
    <row r="415" spans="1:13" x14ac:dyDescent="0.25">
      <c r="B415" s="10"/>
      <c r="C415" s="10"/>
      <c r="D415" s="10">
        <v>313</v>
      </c>
      <c r="E415" s="10" t="s">
        <v>10</v>
      </c>
      <c r="F415" s="11">
        <v>89612</v>
      </c>
      <c r="G415" s="11"/>
      <c r="H415" s="11">
        <f t="shared" si="99"/>
        <v>89612</v>
      </c>
      <c r="K415" s="154"/>
      <c r="L415" s="154"/>
      <c r="M415" s="154"/>
    </row>
    <row r="416" spans="1:13" x14ac:dyDescent="0.25">
      <c r="B416" s="10"/>
      <c r="C416" s="8">
        <v>32</v>
      </c>
      <c r="D416" s="10"/>
      <c r="E416" s="8" t="s">
        <v>11</v>
      </c>
      <c r="F416" s="9">
        <f>F417</f>
        <v>20000</v>
      </c>
      <c r="G416" s="9">
        <f t="shared" ref="G416:H416" si="100">G417</f>
        <v>0</v>
      </c>
      <c r="H416" s="9">
        <f t="shared" si="100"/>
        <v>20000</v>
      </c>
    </row>
    <row r="417" spans="1:13" x14ac:dyDescent="0.25">
      <c r="B417" s="8"/>
      <c r="C417" s="8"/>
      <c r="D417" s="10">
        <v>322</v>
      </c>
      <c r="E417" s="10" t="s">
        <v>22</v>
      </c>
      <c r="F417" s="11">
        <v>20000</v>
      </c>
      <c r="G417" s="9"/>
      <c r="H417" s="9">
        <f>F417+G417</f>
        <v>20000</v>
      </c>
    </row>
    <row r="418" spans="1:13" x14ac:dyDescent="0.25">
      <c r="B418" s="35"/>
      <c r="C418" s="35"/>
      <c r="D418" s="35"/>
      <c r="E418" s="47" t="s">
        <v>157</v>
      </c>
      <c r="F418" s="30">
        <f>F424+F421</f>
        <v>105000</v>
      </c>
      <c r="G418" s="30">
        <f t="shared" ref="G418" si="101">G424+G421</f>
        <v>14122</v>
      </c>
      <c r="H418" s="30">
        <f>H424+H421</f>
        <v>119122</v>
      </c>
    </row>
    <row r="419" spans="1:13" ht="23.25" x14ac:dyDescent="0.25">
      <c r="B419" s="35"/>
      <c r="C419" s="35"/>
      <c r="D419" s="35"/>
      <c r="E419" s="77" t="s">
        <v>67</v>
      </c>
      <c r="F419" s="9"/>
      <c r="G419" s="110"/>
      <c r="H419" s="113"/>
    </row>
    <row r="420" spans="1:13" x14ac:dyDescent="0.25">
      <c r="B420" s="35"/>
      <c r="C420" s="35"/>
      <c r="D420" s="35"/>
      <c r="E420" s="77" t="s">
        <v>180</v>
      </c>
      <c r="F420" s="9"/>
      <c r="G420" s="110"/>
      <c r="H420" s="113"/>
    </row>
    <row r="421" spans="1:13" s="109" customFormat="1" x14ac:dyDescent="0.25">
      <c r="A421" s="152"/>
      <c r="B421" s="33">
        <v>3</v>
      </c>
      <c r="C421" s="33"/>
      <c r="D421" s="33"/>
      <c r="E421" s="14" t="s">
        <v>6</v>
      </c>
      <c r="F421" s="9">
        <f>F422</f>
        <v>0</v>
      </c>
      <c r="G421" s="9">
        <f t="shared" ref="G421:H421" si="102">G422</f>
        <v>14125</v>
      </c>
      <c r="H421" s="9">
        <f t="shared" si="102"/>
        <v>14125</v>
      </c>
      <c r="K421"/>
      <c r="L421"/>
      <c r="M421"/>
    </row>
    <row r="422" spans="1:13" s="109" customFormat="1" x14ac:dyDescent="0.25">
      <c r="A422" s="152"/>
      <c r="B422" s="33"/>
      <c r="C422" s="33">
        <v>32</v>
      </c>
      <c r="D422" s="33"/>
      <c r="E422" s="14" t="s">
        <v>11</v>
      </c>
      <c r="F422" s="9">
        <f>F423</f>
        <v>0</v>
      </c>
      <c r="G422" s="9">
        <f t="shared" ref="G422:H422" si="103">G423</f>
        <v>14125</v>
      </c>
      <c r="H422" s="9">
        <f t="shared" si="103"/>
        <v>14125</v>
      </c>
      <c r="K422"/>
      <c r="L422"/>
      <c r="M422"/>
    </row>
    <row r="423" spans="1:13" s="154" customFormat="1" x14ac:dyDescent="0.25">
      <c r="A423" s="153"/>
      <c r="B423" s="33"/>
      <c r="C423" s="33"/>
      <c r="D423" s="34">
        <v>323</v>
      </c>
      <c r="E423" s="13" t="s">
        <v>13</v>
      </c>
      <c r="F423" s="11"/>
      <c r="G423" s="68">
        <f>3125+2500+8500</f>
        <v>14125</v>
      </c>
      <c r="H423" s="155">
        <f>F423+G423</f>
        <v>14125</v>
      </c>
      <c r="K423"/>
      <c r="L423"/>
      <c r="M423"/>
    </row>
    <row r="424" spans="1:13" x14ac:dyDescent="0.25">
      <c r="B424" s="33">
        <v>4</v>
      </c>
      <c r="C424" s="33"/>
      <c r="D424" s="33"/>
      <c r="E424" s="33" t="s">
        <v>184</v>
      </c>
      <c r="F424" s="9">
        <f>F425</f>
        <v>105000</v>
      </c>
      <c r="G424" s="9">
        <f>G425</f>
        <v>-3</v>
      </c>
      <c r="H424" s="9">
        <f>H425</f>
        <v>104997</v>
      </c>
    </row>
    <row r="425" spans="1:13" ht="26.25" x14ac:dyDescent="0.25">
      <c r="B425" s="33"/>
      <c r="C425" s="33">
        <v>42</v>
      </c>
      <c r="D425" s="33"/>
      <c r="E425" s="44" t="s">
        <v>41</v>
      </c>
      <c r="F425" s="9">
        <f>F426</f>
        <v>105000</v>
      </c>
      <c r="G425" s="9">
        <f t="shared" ref="G425:H425" si="104">G426</f>
        <v>-3</v>
      </c>
      <c r="H425" s="9">
        <f t="shared" si="104"/>
        <v>104997</v>
      </c>
    </row>
    <row r="426" spans="1:13" x14ac:dyDescent="0.25">
      <c r="B426" s="34"/>
      <c r="C426" s="34"/>
      <c r="D426" s="34">
        <v>422</v>
      </c>
      <c r="E426" s="111" t="s">
        <v>68</v>
      </c>
      <c r="F426" s="112">
        <v>105000</v>
      </c>
      <c r="G426" s="150">
        <v>-3</v>
      </c>
      <c r="H426" s="151">
        <f>F426+G426</f>
        <v>104997</v>
      </c>
    </row>
    <row r="427" spans="1:13" ht="26.25" x14ac:dyDescent="0.25">
      <c r="B427" s="35"/>
      <c r="C427" s="35"/>
      <c r="D427" s="35"/>
      <c r="E427" s="47" t="s">
        <v>124</v>
      </c>
      <c r="F427" s="30">
        <f>F429+F432</f>
        <v>364166</v>
      </c>
      <c r="G427" s="30">
        <f t="shared" ref="G427:H427" si="105">G429+G432</f>
        <v>0</v>
      </c>
      <c r="H427" s="30">
        <f t="shared" si="105"/>
        <v>364166</v>
      </c>
    </row>
    <row r="428" spans="1:13" x14ac:dyDescent="0.25">
      <c r="B428" s="35"/>
      <c r="C428" s="35"/>
      <c r="D428" s="35"/>
      <c r="E428" s="31" t="s">
        <v>151</v>
      </c>
      <c r="F428" s="32"/>
      <c r="G428" s="32"/>
      <c r="H428" s="32"/>
    </row>
    <row r="429" spans="1:13" x14ac:dyDescent="0.25">
      <c r="B429" s="33">
        <v>3</v>
      </c>
      <c r="C429" s="33"/>
      <c r="D429" s="33"/>
      <c r="E429" s="44" t="s">
        <v>6</v>
      </c>
      <c r="F429" s="9">
        <f>F430</f>
        <v>64166</v>
      </c>
      <c r="G429" s="9">
        <f t="shared" ref="G429:H430" si="106">G430</f>
        <v>0</v>
      </c>
      <c r="H429" s="9">
        <f t="shared" si="106"/>
        <v>64166</v>
      </c>
    </row>
    <row r="430" spans="1:13" x14ac:dyDescent="0.25">
      <c r="B430" s="33"/>
      <c r="C430" s="33">
        <v>34</v>
      </c>
      <c r="D430" s="33"/>
      <c r="E430" s="44" t="s">
        <v>23</v>
      </c>
      <c r="F430" s="9">
        <f>F431</f>
        <v>64166</v>
      </c>
      <c r="G430" s="9">
        <f t="shared" si="106"/>
        <v>0</v>
      </c>
      <c r="H430" s="9">
        <f t="shared" si="106"/>
        <v>64166</v>
      </c>
    </row>
    <row r="431" spans="1:13" x14ac:dyDescent="0.25">
      <c r="B431" s="34"/>
      <c r="C431" s="34"/>
      <c r="D431" s="34">
        <v>342</v>
      </c>
      <c r="E431" s="54" t="s">
        <v>69</v>
      </c>
      <c r="F431" s="11">
        <v>64166</v>
      </c>
      <c r="G431" s="11"/>
      <c r="H431" s="11">
        <f>F431+G431</f>
        <v>64166</v>
      </c>
    </row>
    <row r="432" spans="1:13" ht="26.25" x14ac:dyDescent="0.25">
      <c r="B432" s="33">
        <v>5</v>
      </c>
      <c r="C432" s="33"/>
      <c r="D432" s="33"/>
      <c r="E432" s="44" t="s">
        <v>70</v>
      </c>
      <c r="F432" s="98">
        <f>F433</f>
        <v>300000</v>
      </c>
      <c r="G432" s="98">
        <f t="shared" ref="G432:H433" si="107">G433</f>
        <v>0</v>
      </c>
      <c r="H432" s="98">
        <f t="shared" si="107"/>
        <v>300000</v>
      </c>
    </row>
    <row r="433" spans="1:13" ht="26.25" x14ac:dyDescent="0.25">
      <c r="B433" s="33"/>
      <c r="C433" s="33">
        <v>54</v>
      </c>
      <c r="D433" s="33"/>
      <c r="E433" s="44" t="s">
        <v>71</v>
      </c>
      <c r="F433" s="98">
        <f>F434</f>
        <v>300000</v>
      </c>
      <c r="G433" s="98">
        <f t="shared" si="107"/>
        <v>0</v>
      </c>
      <c r="H433" s="98">
        <f t="shared" si="107"/>
        <v>300000</v>
      </c>
    </row>
    <row r="434" spans="1:13" ht="27" customHeight="1" x14ac:dyDescent="0.25">
      <c r="B434" s="34"/>
      <c r="C434" s="34"/>
      <c r="D434" s="34">
        <v>543</v>
      </c>
      <c r="E434" s="54" t="s">
        <v>72</v>
      </c>
      <c r="F434" s="68">
        <v>300000</v>
      </c>
      <c r="G434" s="68"/>
      <c r="H434" s="68">
        <f>F434+G434</f>
        <v>300000</v>
      </c>
    </row>
    <row r="435" spans="1:13" x14ac:dyDescent="0.25">
      <c r="B435" s="35"/>
      <c r="C435" s="35"/>
      <c r="D435" s="35"/>
      <c r="E435" s="29" t="s">
        <v>73</v>
      </c>
      <c r="F435" s="30">
        <f>F437</f>
        <v>53000</v>
      </c>
      <c r="G435" s="30">
        <f t="shared" ref="G435:H435" si="108">G437</f>
        <v>14651</v>
      </c>
      <c r="H435" s="30">
        <f t="shared" si="108"/>
        <v>67651</v>
      </c>
      <c r="K435" s="2"/>
      <c r="L435" s="2"/>
      <c r="M435" s="2"/>
    </row>
    <row r="436" spans="1:13" x14ac:dyDescent="0.25">
      <c r="B436" s="35"/>
      <c r="C436" s="35"/>
      <c r="D436" s="35"/>
      <c r="E436" s="31" t="s">
        <v>30</v>
      </c>
      <c r="F436" s="32"/>
      <c r="G436" s="32"/>
      <c r="H436" s="32"/>
    </row>
    <row r="437" spans="1:13" x14ac:dyDescent="0.25">
      <c r="B437" s="33">
        <v>3</v>
      </c>
      <c r="C437" s="33"/>
      <c r="D437" s="33"/>
      <c r="E437" s="33" t="s">
        <v>6</v>
      </c>
      <c r="F437" s="9">
        <f>F438+F440+F442</f>
        <v>53000</v>
      </c>
      <c r="G437" s="9">
        <f>G438+G440+G442</f>
        <v>14651</v>
      </c>
      <c r="H437" s="9">
        <f>H438+H440+H442</f>
        <v>67651</v>
      </c>
    </row>
    <row r="438" spans="1:13" ht="26.25" x14ac:dyDescent="0.25">
      <c r="B438" s="33"/>
      <c r="C438" s="33">
        <v>36</v>
      </c>
      <c r="D438" s="33"/>
      <c r="E438" s="44" t="s">
        <v>74</v>
      </c>
      <c r="F438" s="9">
        <f>F439</f>
        <v>9000</v>
      </c>
      <c r="G438" s="9">
        <f t="shared" ref="G438:H438" si="109">G439</f>
        <v>2000</v>
      </c>
      <c r="H438" s="9">
        <f t="shared" si="109"/>
        <v>11000</v>
      </c>
    </row>
    <row r="439" spans="1:13" x14ac:dyDescent="0.25">
      <c r="B439" s="34"/>
      <c r="C439" s="34"/>
      <c r="D439" s="34">
        <v>363</v>
      </c>
      <c r="E439" s="34" t="s">
        <v>125</v>
      </c>
      <c r="F439" s="11">
        <f>1000+8000</f>
        <v>9000</v>
      </c>
      <c r="G439" s="11">
        <v>2000</v>
      </c>
      <c r="H439" s="11">
        <f>F439+G439</f>
        <v>11000</v>
      </c>
    </row>
    <row r="440" spans="1:13" x14ac:dyDescent="0.25">
      <c r="B440" s="33"/>
      <c r="C440" s="33">
        <v>37</v>
      </c>
      <c r="D440" s="33"/>
      <c r="E440" s="33" t="s">
        <v>45</v>
      </c>
      <c r="F440" s="9">
        <f>F441</f>
        <v>44000</v>
      </c>
      <c r="G440" s="9">
        <f t="shared" ref="G440:H440" si="110">G441</f>
        <v>0</v>
      </c>
      <c r="H440" s="9">
        <f t="shared" si="110"/>
        <v>44000</v>
      </c>
    </row>
    <row r="441" spans="1:13" x14ac:dyDescent="0.25">
      <c r="B441" s="34"/>
      <c r="C441" s="34"/>
      <c r="D441" s="34">
        <v>372</v>
      </c>
      <c r="E441" s="34" t="s">
        <v>46</v>
      </c>
      <c r="F441" s="11">
        <f>17000+27000</f>
        <v>44000</v>
      </c>
      <c r="G441" s="11"/>
      <c r="H441" s="11">
        <f>F441+G441</f>
        <v>44000</v>
      </c>
    </row>
    <row r="442" spans="1:13" x14ac:dyDescent="0.25">
      <c r="B442" s="33"/>
      <c r="C442" s="33">
        <v>38</v>
      </c>
      <c r="D442" s="33"/>
      <c r="E442" s="33" t="s">
        <v>15</v>
      </c>
      <c r="F442" s="9">
        <f>F443</f>
        <v>0</v>
      </c>
      <c r="G442" s="9">
        <f t="shared" ref="G442:H442" si="111">G443</f>
        <v>12651</v>
      </c>
      <c r="H442" s="9">
        <f t="shared" si="111"/>
        <v>12651</v>
      </c>
    </row>
    <row r="443" spans="1:13" s="2" customFormat="1" x14ac:dyDescent="0.25">
      <c r="A443" s="136"/>
      <c r="B443" s="34"/>
      <c r="C443" s="34"/>
      <c r="D443" s="34">
        <v>381</v>
      </c>
      <c r="E443" s="34" t="s">
        <v>210</v>
      </c>
      <c r="F443" s="11"/>
      <c r="G443" s="11">
        <v>12651</v>
      </c>
      <c r="H443" s="11">
        <f>F443+G443</f>
        <v>12651</v>
      </c>
      <c r="K443"/>
      <c r="L443"/>
      <c r="M443"/>
    </row>
    <row r="444" spans="1:13" ht="26.25" x14ac:dyDescent="0.25">
      <c r="B444" s="35"/>
      <c r="C444" s="35"/>
      <c r="D444" s="35"/>
      <c r="E444" s="47" t="s">
        <v>126</v>
      </c>
      <c r="F444" s="30">
        <f>F446</f>
        <v>54000</v>
      </c>
      <c r="G444" s="30">
        <f>G446</f>
        <v>0</v>
      </c>
      <c r="H444" s="30">
        <f>H446</f>
        <v>54000</v>
      </c>
    </row>
    <row r="445" spans="1:13" x14ac:dyDescent="0.25">
      <c r="B445" s="35"/>
      <c r="C445" s="35"/>
      <c r="D445" s="35"/>
      <c r="E445" s="31" t="s">
        <v>30</v>
      </c>
      <c r="F445" s="32"/>
      <c r="G445" s="32"/>
      <c r="H445" s="32"/>
    </row>
    <row r="446" spans="1:13" x14ac:dyDescent="0.25">
      <c r="B446" s="33">
        <v>3</v>
      </c>
      <c r="C446" s="33"/>
      <c r="D446" s="33"/>
      <c r="E446" s="33" t="s">
        <v>6</v>
      </c>
      <c r="F446" s="9">
        <f>F447</f>
        <v>54000</v>
      </c>
      <c r="G446" s="9">
        <f>G447</f>
        <v>0</v>
      </c>
      <c r="H446" s="9">
        <f>H447</f>
        <v>54000</v>
      </c>
    </row>
    <row r="447" spans="1:13" x14ac:dyDescent="0.25">
      <c r="B447" s="33"/>
      <c r="C447" s="33">
        <v>37</v>
      </c>
      <c r="D447" s="33"/>
      <c r="E447" s="33" t="s">
        <v>45</v>
      </c>
      <c r="F447" s="9">
        <f>F448</f>
        <v>54000</v>
      </c>
      <c r="G447" s="9">
        <f t="shared" ref="G447:H447" si="112">G448</f>
        <v>0</v>
      </c>
      <c r="H447" s="9">
        <f t="shared" si="112"/>
        <v>54000</v>
      </c>
    </row>
    <row r="448" spans="1:13" x14ac:dyDescent="0.25">
      <c r="B448" s="34"/>
      <c r="C448" s="34"/>
      <c r="D448" s="34">
        <v>372</v>
      </c>
      <c r="E448" s="34" t="s">
        <v>46</v>
      </c>
      <c r="F448" s="11">
        <v>54000</v>
      </c>
      <c r="G448" s="11"/>
      <c r="H448" s="11">
        <f>F448+G448</f>
        <v>54000</v>
      </c>
    </row>
    <row r="449" spans="2:8" ht="26.25" x14ac:dyDescent="0.25">
      <c r="B449" s="57"/>
      <c r="C449" s="57"/>
      <c r="D449" s="57"/>
      <c r="E449" s="58" t="s">
        <v>76</v>
      </c>
      <c r="F449" s="23">
        <f>F451</f>
        <v>226333.01</v>
      </c>
      <c r="G449" s="23">
        <f>G451</f>
        <v>9794.3100000000013</v>
      </c>
      <c r="H449" s="23">
        <f>H451</f>
        <v>236127.32</v>
      </c>
    </row>
    <row r="450" spans="2:8" ht="26.25" x14ac:dyDescent="0.25">
      <c r="B450" s="57"/>
      <c r="C450" s="57"/>
      <c r="D450" s="57"/>
      <c r="E450" s="58" t="s">
        <v>77</v>
      </c>
      <c r="F450" s="23"/>
      <c r="G450" s="23"/>
      <c r="H450" s="23"/>
    </row>
    <row r="451" spans="2:8" ht="39" x14ac:dyDescent="0.25">
      <c r="B451" s="59"/>
      <c r="C451" s="59"/>
      <c r="D451" s="59"/>
      <c r="E451" s="60" t="s">
        <v>127</v>
      </c>
      <c r="F451" s="27">
        <f>F452+F469+F474+F479+F484+F489+F457</f>
        <v>226333.01</v>
      </c>
      <c r="G451" s="27">
        <f>G452+G469+G474+G479+G484+G489+G457</f>
        <v>9794.3100000000013</v>
      </c>
      <c r="H451" s="27">
        <f t="shared" ref="H451" si="113">H452+H469+H474+H479+H484+H489+H457</f>
        <v>236127.32</v>
      </c>
    </row>
    <row r="452" spans="2:8" ht="26.25" x14ac:dyDescent="0.25">
      <c r="B452" s="35"/>
      <c r="C452" s="35"/>
      <c r="D452" s="35"/>
      <c r="E452" s="47" t="s">
        <v>78</v>
      </c>
      <c r="F452" s="30">
        <f>F454</f>
        <v>52510</v>
      </c>
      <c r="G452" s="30">
        <f t="shared" ref="G452:H452" si="114">G454</f>
        <v>1699</v>
      </c>
      <c r="H452" s="30">
        <f t="shared" si="114"/>
        <v>54209</v>
      </c>
    </row>
    <row r="453" spans="2:8" x14ac:dyDescent="0.25">
      <c r="B453" s="35"/>
      <c r="C453" s="35"/>
      <c r="D453" s="35"/>
      <c r="E453" s="31" t="s">
        <v>180</v>
      </c>
      <c r="F453" s="32"/>
      <c r="G453" s="32"/>
      <c r="H453" s="32"/>
    </row>
    <row r="454" spans="2:8" x14ac:dyDescent="0.25">
      <c r="B454" s="33">
        <v>3</v>
      </c>
      <c r="C454" s="33"/>
      <c r="D454" s="33"/>
      <c r="E454" s="33" t="s">
        <v>6</v>
      </c>
      <c r="F454" s="9">
        <f>F455</f>
        <v>52510</v>
      </c>
      <c r="G454" s="9">
        <f t="shared" ref="G454:H455" si="115">G455</f>
        <v>1699</v>
      </c>
      <c r="H454" s="9">
        <f t="shared" si="115"/>
        <v>54209</v>
      </c>
    </row>
    <row r="455" spans="2:8" x14ac:dyDescent="0.25">
      <c r="B455" s="33"/>
      <c r="C455" s="33">
        <v>37</v>
      </c>
      <c r="D455" s="33"/>
      <c r="E455" s="33" t="s">
        <v>45</v>
      </c>
      <c r="F455" s="9">
        <f>F456</f>
        <v>52510</v>
      </c>
      <c r="G455" s="9">
        <f t="shared" si="115"/>
        <v>1699</v>
      </c>
      <c r="H455" s="9">
        <f t="shared" si="115"/>
        <v>54209</v>
      </c>
    </row>
    <row r="456" spans="2:8" x14ac:dyDescent="0.25">
      <c r="B456" s="34"/>
      <c r="C456" s="34"/>
      <c r="D456" s="34">
        <v>372</v>
      </c>
      <c r="E456" s="34" t="s">
        <v>46</v>
      </c>
      <c r="F456" s="11">
        <f>42060+10450</f>
        <v>52510</v>
      </c>
      <c r="G456" s="11">
        <v>1699</v>
      </c>
      <c r="H456" s="11">
        <f>F456+G456</f>
        <v>54209</v>
      </c>
    </row>
    <row r="457" spans="2:8" x14ac:dyDescent="0.25">
      <c r="B457" s="35"/>
      <c r="C457" s="35"/>
      <c r="D457" s="35"/>
      <c r="E457" s="47" t="s">
        <v>142</v>
      </c>
      <c r="F457" s="30">
        <f>F459+F466</f>
        <v>116223.01000000001</v>
      </c>
      <c r="G457" s="30">
        <f t="shared" ref="G457" si="116">G459+G466</f>
        <v>8095.31</v>
      </c>
      <c r="H457" s="30">
        <f>H459+H466</f>
        <v>124318.32</v>
      </c>
    </row>
    <row r="458" spans="2:8" x14ac:dyDescent="0.25">
      <c r="B458" s="35"/>
      <c r="C458" s="35"/>
      <c r="D458" s="35"/>
      <c r="E458" s="31" t="s">
        <v>182</v>
      </c>
      <c r="F458" s="32"/>
      <c r="G458" s="32"/>
      <c r="H458" s="32"/>
    </row>
    <row r="459" spans="2:8" x14ac:dyDescent="0.25">
      <c r="B459" s="33">
        <v>3</v>
      </c>
      <c r="C459" s="33"/>
      <c r="D459" s="33"/>
      <c r="E459" s="33" t="s">
        <v>6</v>
      </c>
      <c r="F459" s="9">
        <f>F460+F463</f>
        <v>116223.01000000001</v>
      </c>
      <c r="G459" s="9">
        <f t="shared" ref="G459" si="117">G460+G463</f>
        <v>5095.3100000000004</v>
      </c>
      <c r="H459" s="9">
        <f>H460+H463</f>
        <v>121318.32</v>
      </c>
    </row>
    <row r="460" spans="2:8" x14ac:dyDescent="0.25">
      <c r="B460" s="33"/>
      <c r="C460" s="33">
        <v>31</v>
      </c>
      <c r="D460" s="33"/>
      <c r="E460" s="33" t="s">
        <v>7</v>
      </c>
      <c r="F460" s="9">
        <f>F461+F462</f>
        <v>96754.69</v>
      </c>
      <c r="G460" s="9">
        <f t="shared" ref="G460:H460" si="118">G461+G462</f>
        <v>8095.31</v>
      </c>
      <c r="H460" s="9">
        <f t="shared" si="118"/>
        <v>104850</v>
      </c>
    </row>
    <row r="461" spans="2:8" x14ac:dyDescent="0.25">
      <c r="B461" s="34"/>
      <c r="C461" s="34"/>
      <c r="D461" s="34">
        <v>311</v>
      </c>
      <c r="E461" s="34" t="s">
        <v>21</v>
      </c>
      <c r="F461" s="11">
        <v>82555.199999999997</v>
      </c>
      <c r="G461" s="11">
        <v>7444.8</v>
      </c>
      <c r="H461" s="11">
        <f>F461+G461</f>
        <v>90000</v>
      </c>
    </row>
    <row r="462" spans="2:8" x14ac:dyDescent="0.25">
      <c r="B462" s="34"/>
      <c r="C462" s="34"/>
      <c r="D462" s="34">
        <v>313</v>
      </c>
      <c r="E462" s="34" t="s">
        <v>153</v>
      </c>
      <c r="F462" s="11">
        <v>14199.49</v>
      </c>
      <c r="G462" s="11">
        <v>650.51</v>
      </c>
      <c r="H462" s="11">
        <f>F462+G462</f>
        <v>14850</v>
      </c>
    </row>
    <row r="463" spans="2:8" x14ac:dyDescent="0.25">
      <c r="B463" s="34"/>
      <c r="C463" s="33">
        <v>32</v>
      </c>
      <c r="D463" s="34"/>
      <c r="E463" s="33" t="s">
        <v>11</v>
      </c>
      <c r="F463" s="9">
        <f>F464+F465</f>
        <v>19468.32</v>
      </c>
      <c r="G463" s="9">
        <f t="shared" ref="G463:H463" si="119">G464+G465</f>
        <v>-3000</v>
      </c>
      <c r="H463" s="9">
        <f t="shared" si="119"/>
        <v>16468.32</v>
      </c>
    </row>
    <row r="464" spans="2:8" x14ac:dyDescent="0.25">
      <c r="B464" s="34"/>
      <c r="C464" s="33"/>
      <c r="D464" s="34">
        <v>321</v>
      </c>
      <c r="E464" s="34" t="s">
        <v>12</v>
      </c>
      <c r="F464" s="11">
        <f>3844.32+10824</f>
        <v>14668.32</v>
      </c>
      <c r="G464" s="11"/>
      <c r="H464" s="11">
        <f>F464+G464</f>
        <v>14668.32</v>
      </c>
    </row>
    <row r="465" spans="2:8" x14ac:dyDescent="0.25">
      <c r="B465" s="34"/>
      <c r="C465" s="33"/>
      <c r="D465" s="34">
        <v>322</v>
      </c>
      <c r="E465" s="34" t="s">
        <v>154</v>
      </c>
      <c r="F465" s="11">
        <f>1800+3000</f>
        <v>4800</v>
      </c>
      <c r="G465" s="11">
        <v>-3000</v>
      </c>
      <c r="H465" s="11">
        <f>F465+G465</f>
        <v>1800</v>
      </c>
    </row>
    <row r="466" spans="2:8" x14ac:dyDescent="0.25">
      <c r="B466" s="33">
        <v>4</v>
      </c>
      <c r="C466" s="33"/>
      <c r="D466" s="34"/>
      <c r="E466" s="33" t="s">
        <v>184</v>
      </c>
      <c r="F466" s="9">
        <f>F467</f>
        <v>0</v>
      </c>
      <c r="G466" s="9">
        <f t="shared" ref="G466:H467" si="120">G467</f>
        <v>3000</v>
      </c>
      <c r="H466" s="9">
        <f t="shared" si="120"/>
        <v>3000</v>
      </c>
    </row>
    <row r="467" spans="2:8" ht="26.25" x14ac:dyDescent="0.25">
      <c r="B467" s="34"/>
      <c r="C467" s="33">
        <v>42</v>
      </c>
      <c r="D467" s="34"/>
      <c r="E467" s="44" t="s">
        <v>41</v>
      </c>
      <c r="F467" s="9">
        <f>F468</f>
        <v>0</v>
      </c>
      <c r="G467" s="9">
        <f t="shared" si="120"/>
        <v>3000</v>
      </c>
      <c r="H467" s="9">
        <f t="shared" si="120"/>
        <v>3000</v>
      </c>
    </row>
    <row r="468" spans="2:8" x14ac:dyDescent="0.25">
      <c r="B468" s="34"/>
      <c r="C468" s="33"/>
      <c r="D468" s="34">
        <v>423</v>
      </c>
      <c r="E468" s="34" t="s">
        <v>208</v>
      </c>
      <c r="F468" s="11"/>
      <c r="G468" s="11">
        <v>3000</v>
      </c>
      <c r="H468" s="11">
        <f>F468+G468</f>
        <v>3000</v>
      </c>
    </row>
    <row r="469" spans="2:8" x14ac:dyDescent="0.25">
      <c r="B469" s="33"/>
      <c r="C469" s="33"/>
      <c r="D469" s="33"/>
      <c r="E469" s="47" t="s">
        <v>128</v>
      </c>
      <c r="F469" s="30">
        <f>F471</f>
        <v>5000</v>
      </c>
      <c r="G469" s="30">
        <f>G471</f>
        <v>0</v>
      </c>
      <c r="H469" s="30">
        <f>H471</f>
        <v>5000</v>
      </c>
    </row>
    <row r="470" spans="2:8" x14ac:dyDescent="0.25">
      <c r="B470" s="35"/>
      <c r="C470" s="35"/>
      <c r="D470" s="35"/>
      <c r="E470" s="31" t="s">
        <v>30</v>
      </c>
      <c r="F470" s="32"/>
      <c r="G470" s="32"/>
      <c r="H470" s="32"/>
    </row>
    <row r="471" spans="2:8" x14ac:dyDescent="0.25">
      <c r="B471" s="33">
        <v>3</v>
      </c>
      <c r="C471" s="33"/>
      <c r="D471" s="33"/>
      <c r="E471" s="33" t="s">
        <v>6</v>
      </c>
      <c r="F471" s="9">
        <f>F472</f>
        <v>5000</v>
      </c>
      <c r="G471" s="9">
        <f t="shared" ref="G471:H472" si="121">G472</f>
        <v>0</v>
      </c>
      <c r="H471" s="9">
        <f t="shared" si="121"/>
        <v>5000</v>
      </c>
    </row>
    <row r="472" spans="2:8" x14ac:dyDescent="0.25">
      <c r="B472" s="33"/>
      <c r="C472" s="33">
        <v>38</v>
      </c>
      <c r="D472" s="33"/>
      <c r="E472" s="33" t="s">
        <v>15</v>
      </c>
      <c r="F472" s="9">
        <f>F473</f>
        <v>5000</v>
      </c>
      <c r="G472" s="9">
        <f t="shared" si="121"/>
        <v>0</v>
      </c>
      <c r="H472" s="9">
        <f t="shared" si="121"/>
        <v>5000</v>
      </c>
    </row>
    <row r="473" spans="2:8" x14ac:dyDescent="0.25">
      <c r="B473" s="34"/>
      <c r="C473" s="34"/>
      <c r="D473" s="34">
        <v>381</v>
      </c>
      <c r="E473" s="34" t="s">
        <v>31</v>
      </c>
      <c r="F473" s="11">
        <v>5000</v>
      </c>
      <c r="G473" s="11"/>
      <c r="H473" s="11">
        <f>F473+G473</f>
        <v>5000</v>
      </c>
    </row>
    <row r="474" spans="2:8" ht="26.25" x14ac:dyDescent="0.25">
      <c r="B474" s="35"/>
      <c r="C474" s="35"/>
      <c r="D474" s="35"/>
      <c r="E474" s="47" t="s">
        <v>79</v>
      </c>
      <c r="F474" s="30">
        <f>F476</f>
        <v>27000</v>
      </c>
      <c r="G474" s="30">
        <f>G476</f>
        <v>0</v>
      </c>
      <c r="H474" s="30">
        <f>H476</f>
        <v>27000</v>
      </c>
    </row>
    <row r="475" spans="2:8" x14ac:dyDescent="0.25">
      <c r="B475" s="35"/>
      <c r="C475" s="35"/>
      <c r="D475" s="35"/>
      <c r="E475" s="31" t="s">
        <v>30</v>
      </c>
      <c r="F475" s="32"/>
      <c r="G475" s="32"/>
      <c r="H475" s="32"/>
    </row>
    <row r="476" spans="2:8" x14ac:dyDescent="0.25">
      <c r="B476" s="33">
        <v>3</v>
      </c>
      <c r="C476" s="33"/>
      <c r="D476" s="33"/>
      <c r="E476" s="33" t="s">
        <v>6</v>
      </c>
      <c r="F476" s="9">
        <f>F477</f>
        <v>27000</v>
      </c>
      <c r="G476" s="9">
        <f t="shared" ref="G476:H477" si="122">G477</f>
        <v>0</v>
      </c>
      <c r="H476" s="9">
        <f t="shared" si="122"/>
        <v>27000</v>
      </c>
    </row>
    <row r="477" spans="2:8" x14ac:dyDescent="0.25">
      <c r="B477" s="33"/>
      <c r="C477" s="33">
        <v>37</v>
      </c>
      <c r="D477" s="33"/>
      <c r="E477" s="33" t="s">
        <v>45</v>
      </c>
      <c r="F477" s="9">
        <f>F478</f>
        <v>27000</v>
      </c>
      <c r="G477" s="9">
        <f t="shared" si="122"/>
        <v>0</v>
      </c>
      <c r="H477" s="9">
        <f t="shared" si="122"/>
        <v>27000</v>
      </c>
    </row>
    <row r="478" spans="2:8" x14ac:dyDescent="0.25">
      <c r="B478" s="34"/>
      <c r="C478" s="34"/>
      <c r="D478" s="34">
        <v>372</v>
      </c>
      <c r="E478" s="34" t="s">
        <v>46</v>
      </c>
      <c r="F478" s="11">
        <f>13000+14000</f>
        <v>27000</v>
      </c>
      <c r="G478" s="11"/>
      <c r="H478" s="11">
        <f>F478+G478</f>
        <v>27000</v>
      </c>
    </row>
    <row r="479" spans="2:8" ht="26.25" x14ac:dyDescent="0.25">
      <c r="B479" s="35"/>
      <c r="C479" s="35"/>
      <c r="D479" s="35"/>
      <c r="E479" s="47" t="s">
        <v>143</v>
      </c>
      <c r="F479" s="30">
        <f>F481</f>
        <v>20000</v>
      </c>
      <c r="G479" s="30">
        <f t="shared" ref="G479:H479" si="123">G481</f>
        <v>0</v>
      </c>
      <c r="H479" s="30">
        <f t="shared" si="123"/>
        <v>20000</v>
      </c>
    </row>
    <row r="480" spans="2:8" x14ac:dyDescent="0.25">
      <c r="B480" s="35"/>
      <c r="C480" s="35"/>
      <c r="D480" s="35"/>
      <c r="E480" s="31" t="s">
        <v>30</v>
      </c>
      <c r="F480" s="32"/>
      <c r="G480" s="32"/>
      <c r="H480" s="32"/>
    </row>
    <row r="481" spans="2:8" x14ac:dyDescent="0.25">
      <c r="B481" s="33">
        <v>3</v>
      </c>
      <c r="C481" s="33"/>
      <c r="D481" s="33"/>
      <c r="E481" s="33" t="s">
        <v>6</v>
      </c>
      <c r="F481" s="9">
        <f>F482</f>
        <v>20000</v>
      </c>
      <c r="G481" s="9">
        <f t="shared" ref="G481:H482" si="124">G482</f>
        <v>0</v>
      </c>
      <c r="H481" s="9">
        <f t="shared" si="124"/>
        <v>20000</v>
      </c>
    </row>
    <row r="482" spans="2:8" x14ac:dyDescent="0.25">
      <c r="B482" s="33"/>
      <c r="C482" s="33">
        <v>37</v>
      </c>
      <c r="D482" s="33"/>
      <c r="E482" s="33" t="s">
        <v>45</v>
      </c>
      <c r="F482" s="9">
        <f>F483</f>
        <v>20000</v>
      </c>
      <c r="G482" s="9">
        <f t="shared" si="124"/>
        <v>0</v>
      </c>
      <c r="H482" s="9">
        <f t="shared" si="124"/>
        <v>20000</v>
      </c>
    </row>
    <row r="483" spans="2:8" x14ac:dyDescent="0.25">
      <c r="B483" s="34"/>
      <c r="C483" s="34"/>
      <c r="D483" s="34">
        <v>372</v>
      </c>
      <c r="E483" s="34" t="s">
        <v>46</v>
      </c>
      <c r="F483" s="11">
        <f>5000+10000+5000</f>
        <v>20000</v>
      </c>
      <c r="G483" s="11"/>
      <c r="H483" s="11">
        <f>F483+G483</f>
        <v>20000</v>
      </c>
    </row>
    <row r="484" spans="2:8" ht="26.25" x14ac:dyDescent="0.25">
      <c r="B484" s="35"/>
      <c r="C484" s="35"/>
      <c r="D484" s="35"/>
      <c r="E484" s="47" t="s">
        <v>129</v>
      </c>
      <c r="F484" s="30">
        <f>F486</f>
        <v>4000</v>
      </c>
      <c r="G484" s="30">
        <f t="shared" ref="G484:H484" si="125">G486</f>
        <v>0</v>
      </c>
      <c r="H484" s="30">
        <f t="shared" si="125"/>
        <v>4000</v>
      </c>
    </row>
    <row r="485" spans="2:8" x14ac:dyDescent="0.25">
      <c r="B485" s="35"/>
      <c r="C485" s="35"/>
      <c r="D485" s="35"/>
      <c r="E485" s="31" t="s">
        <v>30</v>
      </c>
      <c r="F485" s="32"/>
      <c r="G485" s="32"/>
      <c r="H485" s="32"/>
    </row>
    <row r="486" spans="2:8" x14ac:dyDescent="0.25">
      <c r="B486" s="33">
        <v>3</v>
      </c>
      <c r="C486" s="33"/>
      <c r="D486" s="33"/>
      <c r="E486" s="33" t="s">
        <v>6</v>
      </c>
      <c r="F486" s="9">
        <f>F487</f>
        <v>4000</v>
      </c>
      <c r="G486" s="9">
        <f t="shared" ref="G486:H487" si="126">G487</f>
        <v>0</v>
      </c>
      <c r="H486" s="9">
        <f t="shared" si="126"/>
        <v>4000</v>
      </c>
    </row>
    <row r="487" spans="2:8" x14ac:dyDescent="0.25">
      <c r="B487" s="33"/>
      <c r="C487" s="33">
        <v>38</v>
      </c>
      <c r="D487" s="33"/>
      <c r="E487" s="33" t="s">
        <v>15</v>
      </c>
      <c r="F487" s="9">
        <f>F488</f>
        <v>4000</v>
      </c>
      <c r="G487" s="9">
        <f t="shared" si="126"/>
        <v>0</v>
      </c>
      <c r="H487" s="9">
        <f t="shared" si="126"/>
        <v>4000</v>
      </c>
    </row>
    <row r="488" spans="2:8" x14ac:dyDescent="0.25">
      <c r="B488" s="34"/>
      <c r="C488" s="34"/>
      <c r="D488" s="34">
        <v>381</v>
      </c>
      <c r="E488" s="34" t="s">
        <v>31</v>
      </c>
      <c r="F488" s="11">
        <f>1000+3000</f>
        <v>4000</v>
      </c>
      <c r="G488" s="11"/>
      <c r="H488" s="11">
        <f>F488+G488</f>
        <v>4000</v>
      </c>
    </row>
    <row r="489" spans="2:8" x14ac:dyDescent="0.25">
      <c r="B489" s="35"/>
      <c r="C489" s="35"/>
      <c r="D489" s="35"/>
      <c r="E489" s="47" t="s">
        <v>80</v>
      </c>
      <c r="F489" s="30">
        <f>F491</f>
        <v>1600</v>
      </c>
      <c r="G489" s="30">
        <f t="shared" ref="G489:H489" si="127">G491</f>
        <v>0</v>
      </c>
      <c r="H489" s="30">
        <f t="shared" si="127"/>
        <v>1600</v>
      </c>
    </row>
    <row r="490" spans="2:8" x14ac:dyDescent="0.25">
      <c r="B490" s="35"/>
      <c r="C490" s="35"/>
      <c r="D490" s="35"/>
      <c r="E490" s="31" t="s">
        <v>30</v>
      </c>
      <c r="F490" s="81"/>
      <c r="G490" s="81"/>
      <c r="H490" s="81"/>
    </row>
    <row r="491" spans="2:8" x14ac:dyDescent="0.25">
      <c r="B491" s="33">
        <v>3</v>
      </c>
      <c r="C491" s="33"/>
      <c r="D491" s="33"/>
      <c r="E491" s="33" t="s">
        <v>6</v>
      </c>
      <c r="F491" s="98">
        <f>F492</f>
        <v>1600</v>
      </c>
      <c r="G491" s="98">
        <f t="shared" ref="G491:H492" si="128">G492</f>
        <v>0</v>
      </c>
      <c r="H491" s="98">
        <f t="shared" si="128"/>
        <v>1600</v>
      </c>
    </row>
    <row r="492" spans="2:8" x14ac:dyDescent="0.25">
      <c r="B492" s="33"/>
      <c r="C492" s="33">
        <v>38</v>
      </c>
      <c r="D492" s="33"/>
      <c r="E492" s="33" t="s">
        <v>15</v>
      </c>
      <c r="F492" s="98">
        <f>F493</f>
        <v>1600</v>
      </c>
      <c r="G492" s="98">
        <f t="shared" si="128"/>
        <v>0</v>
      </c>
      <c r="H492" s="98">
        <f t="shared" si="128"/>
        <v>1600</v>
      </c>
    </row>
    <row r="493" spans="2:8" x14ac:dyDescent="0.25">
      <c r="B493" s="34"/>
      <c r="C493" s="34"/>
      <c r="D493" s="34">
        <v>381</v>
      </c>
      <c r="E493" s="34" t="s">
        <v>31</v>
      </c>
      <c r="F493" s="68">
        <v>1600</v>
      </c>
      <c r="G493" s="68"/>
      <c r="H493" s="68">
        <f>F493+G493</f>
        <v>1600</v>
      </c>
    </row>
    <row r="494" spans="2:8" x14ac:dyDescent="0.25">
      <c r="B494" s="38"/>
      <c r="C494" s="38"/>
      <c r="D494" s="38"/>
      <c r="E494" s="38"/>
      <c r="F494" s="101"/>
      <c r="G494" s="101"/>
      <c r="H494" s="101"/>
    </row>
    <row r="495" spans="2:8" x14ac:dyDescent="0.25">
      <c r="B495" s="38"/>
      <c r="C495" s="38"/>
      <c r="D495" s="38"/>
      <c r="E495" s="38"/>
      <c r="F495" s="17"/>
      <c r="G495" s="17"/>
      <c r="H495" s="17"/>
    </row>
    <row r="496" spans="2:8" x14ac:dyDescent="0.25">
      <c r="B496" s="192" t="s">
        <v>130</v>
      </c>
      <c r="C496" s="192"/>
      <c r="D496" s="192"/>
      <c r="E496" s="192"/>
      <c r="F496" s="192"/>
      <c r="G496" s="192"/>
      <c r="H496" s="192"/>
    </row>
    <row r="497" spans="1:13" x14ac:dyDescent="0.25">
      <c r="B497" s="78"/>
      <c r="C497" s="78"/>
      <c r="D497" s="78"/>
      <c r="E497" s="78"/>
      <c r="F497" s="78"/>
      <c r="G497" s="78"/>
      <c r="H497" s="78"/>
    </row>
    <row r="498" spans="1:13" ht="34.5" customHeight="1" x14ac:dyDescent="0.25">
      <c r="B498" s="199" t="s">
        <v>203</v>
      </c>
      <c r="C498" s="199"/>
      <c r="D498" s="199"/>
      <c r="E498" s="199"/>
      <c r="F498" s="199"/>
      <c r="G498" s="199"/>
      <c r="H498" s="199"/>
      <c r="K498" s="106"/>
      <c r="L498" s="106"/>
      <c r="M498" s="106"/>
    </row>
    <row r="499" spans="1:13" x14ac:dyDescent="0.25">
      <c r="B499"/>
      <c r="C499"/>
      <c r="D499"/>
      <c r="E499"/>
      <c r="F499"/>
      <c r="G499"/>
      <c r="H499"/>
      <c r="K499" s="106"/>
      <c r="L499" s="106"/>
      <c r="M499" s="106"/>
    </row>
    <row r="500" spans="1:13" x14ac:dyDescent="0.25">
      <c r="B500" s="200" t="s">
        <v>131</v>
      </c>
      <c r="C500" s="200"/>
      <c r="D500" s="200"/>
      <c r="E500" s="200"/>
      <c r="F500" s="200"/>
      <c r="G500" s="200"/>
      <c r="H500" s="200"/>
      <c r="K500" s="106"/>
      <c r="L500" s="106"/>
      <c r="M500" s="106"/>
    </row>
    <row r="501" spans="1:13" x14ac:dyDescent="0.25">
      <c r="B501" s="148"/>
      <c r="C501" s="148"/>
      <c r="D501" s="148"/>
      <c r="E501" s="148"/>
      <c r="F501" s="148"/>
      <c r="G501" s="148"/>
      <c r="H501" s="148"/>
      <c r="K501" s="106"/>
      <c r="L501" s="106"/>
      <c r="M501" s="106"/>
    </row>
    <row r="502" spans="1:13" x14ac:dyDescent="0.25">
      <c r="B502" s="192" t="s">
        <v>132</v>
      </c>
      <c r="C502" s="192"/>
      <c r="D502" s="192"/>
      <c r="E502" s="192"/>
      <c r="F502" s="192"/>
      <c r="G502" s="192"/>
      <c r="H502" s="192"/>
      <c r="K502" s="106"/>
      <c r="L502" s="106"/>
      <c r="M502" s="106"/>
    </row>
    <row r="503" spans="1:13" x14ac:dyDescent="0.25">
      <c r="B503"/>
      <c r="C503"/>
      <c r="D503"/>
      <c r="E503"/>
      <c r="F503"/>
      <c r="G503"/>
      <c r="H503" s="79"/>
      <c r="K503" s="106"/>
      <c r="L503" s="106"/>
      <c r="M503" s="106"/>
    </row>
    <row r="504" spans="1:13" ht="28.5" customHeight="1" x14ac:dyDescent="0.25">
      <c r="B504" s="199" t="s">
        <v>204</v>
      </c>
      <c r="C504" s="199"/>
      <c r="D504" s="199"/>
      <c r="E504" s="199"/>
      <c r="F504" s="199"/>
      <c r="G504" s="199"/>
      <c r="H504" s="199"/>
      <c r="K504" s="106"/>
      <c r="L504" s="106"/>
      <c r="M504" s="106"/>
    </row>
    <row r="505" spans="1:13" x14ac:dyDescent="0.25">
      <c r="B505"/>
      <c r="C505"/>
      <c r="D505"/>
      <c r="E505"/>
      <c r="F505"/>
      <c r="G505"/>
      <c r="H505" s="79"/>
      <c r="K505" s="106"/>
      <c r="L505" s="106"/>
      <c r="M505" s="106"/>
    </row>
    <row r="506" spans="1:13" s="106" customFormat="1" x14ac:dyDescent="0.25">
      <c r="A506" s="144"/>
      <c r="B506" s="197" t="s">
        <v>133</v>
      </c>
      <c r="C506" s="197"/>
      <c r="D506" s="197"/>
      <c r="E506" s="197"/>
      <c r="F506" s="197"/>
      <c r="G506" s="197"/>
      <c r="H506" s="197"/>
      <c r="K506"/>
      <c r="L506"/>
      <c r="M506"/>
    </row>
    <row r="507" spans="1:13" s="106" customFormat="1" x14ac:dyDescent="0.25">
      <c r="A507" s="144"/>
      <c r="B507" s="197" t="s">
        <v>134</v>
      </c>
      <c r="C507" s="197"/>
      <c r="D507" s="197"/>
      <c r="E507" s="197"/>
      <c r="F507" s="197"/>
      <c r="G507" s="197"/>
      <c r="H507" s="197"/>
      <c r="K507"/>
      <c r="L507"/>
      <c r="M507"/>
    </row>
    <row r="508" spans="1:13" s="106" customFormat="1" x14ac:dyDescent="0.25">
      <c r="A508" s="144"/>
      <c r="F508" s="116"/>
      <c r="G508" s="116"/>
      <c r="H508" s="117"/>
      <c r="K508"/>
      <c r="L508"/>
      <c r="M508"/>
    </row>
    <row r="509" spans="1:13" s="146" customFormat="1" x14ac:dyDescent="0.25">
      <c r="A509" s="168"/>
      <c r="B509" s="145" t="s">
        <v>219</v>
      </c>
      <c r="C509" s="145"/>
      <c r="D509" s="145"/>
      <c r="E509" s="145"/>
      <c r="H509" s="169"/>
    </row>
    <row r="510" spans="1:13" s="146" customFormat="1" x14ac:dyDescent="0.25">
      <c r="A510" s="168"/>
      <c r="B510" s="145" t="s">
        <v>220</v>
      </c>
      <c r="C510" s="145"/>
      <c r="D510" s="145"/>
      <c r="E510" s="145"/>
      <c r="H510" s="169"/>
    </row>
    <row r="511" spans="1:13" s="146" customFormat="1" x14ac:dyDescent="0.25">
      <c r="A511" s="168"/>
      <c r="B511" s="145" t="s">
        <v>218</v>
      </c>
      <c r="C511" s="145"/>
      <c r="D511" s="145"/>
      <c r="E511" s="145"/>
      <c r="H511" s="169"/>
    </row>
    <row r="512" spans="1:13" s="106" customFormat="1" x14ac:dyDescent="0.25">
      <c r="A512" s="144"/>
      <c r="B512" s="146"/>
      <c r="C512" s="146"/>
      <c r="D512" s="146"/>
      <c r="E512" s="146"/>
      <c r="F512" s="116"/>
      <c r="G512" s="147" t="s">
        <v>198</v>
      </c>
      <c r="H512" s="147"/>
      <c r="K512"/>
      <c r="L512"/>
      <c r="M512"/>
    </row>
    <row r="513" spans="1:13" s="106" customFormat="1" x14ac:dyDescent="0.25">
      <c r="A513" s="144"/>
      <c r="B513" s="116"/>
      <c r="C513" s="116"/>
      <c r="D513" s="116"/>
      <c r="E513" s="116"/>
      <c r="F513" s="116"/>
      <c r="G513" s="198" t="s">
        <v>196</v>
      </c>
      <c r="H513" s="198"/>
      <c r="K513"/>
      <c r="L513"/>
      <c r="M513"/>
    </row>
    <row r="514" spans="1:13" x14ac:dyDescent="0.25">
      <c r="B514"/>
      <c r="C514"/>
      <c r="D514"/>
      <c r="E514"/>
      <c r="F514"/>
      <c r="G514"/>
      <c r="H514"/>
    </row>
    <row r="515" spans="1:13" x14ac:dyDescent="0.25">
      <c r="B515"/>
      <c r="C515"/>
      <c r="D515"/>
      <c r="E515"/>
      <c r="F515"/>
      <c r="G515"/>
      <c r="H515"/>
    </row>
    <row r="516" spans="1:13" x14ac:dyDescent="0.25">
      <c r="B516"/>
      <c r="C516"/>
      <c r="D516"/>
      <c r="E516"/>
      <c r="F516"/>
      <c r="G516"/>
      <c r="H516"/>
    </row>
    <row r="517" spans="1:13" x14ac:dyDescent="0.25">
      <c r="B517"/>
      <c r="C517"/>
      <c r="D517"/>
      <c r="E517"/>
      <c r="F517"/>
      <c r="G517"/>
      <c r="H517"/>
    </row>
    <row r="518" spans="1:13" x14ac:dyDescent="0.25">
      <c r="B518"/>
      <c r="C518"/>
      <c r="D518"/>
      <c r="E518"/>
      <c r="F518"/>
      <c r="G518"/>
      <c r="H518"/>
    </row>
    <row r="519" spans="1:13" x14ac:dyDescent="0.25">
      <c r="B519"/>
      <c r="C519"/>
      <c r="D519"/>
      <c r="E519"/>
      <c r="F519"/>
      <c r="G519"/>
      <c r="H519"/>
    </row>
    <row r="520" spans="1:13" x14ac:dyDescent="0.25">
      <c r="B520"/>
      <c r="C520"/>
      <c r="D520"/>
      <c r="E520"/>
      <c r="F520"/>
      <c r="G520"/>
      <c r="H520"/>
    </row>
    <row r="521" spans="1:13" x14ac:dyDescent="0.25">
      <c r="B521"/>
      <c r="C521"/>
      <c r="D521"/>
      <c r="E521"/>
      <c r="F521"/>
      <c r="G521"/>
      <c r="H521"/>
    </row>
    <row r="522" spans="1:13" x14ac:dyDescent="0.25">
      <c r="B522"/>
      <c r="C522"/>
      <c r="D522"/>
      <c r="E522"/>
      <c r="F522"/>
      <c r="G522"/>
      <c r="H522"/>
    </row>
    <row r="523" spans="1:13" x14ac:dyDescent="0.25">
      <c r="B523"/>
      <c r="C523"/>
      <c r="D523"/>
      <c r="E523"/>
      <c r="F523"/>
      <c r="G523"/>
      <c r="H523"/>
    </row>
    <row r="524" spans="1:13" x14ac:dyDescent="0.25">
      <c r="B524"/>
      <c r="C524"/>
      <c r="D524"/>
      <c r="E524"/>
      <c r="F524"/>
      <c r="G524"/>
      <c r="H524"/>
    </row>
    <row r="525" spans="1:13" x14ac:dyDescent="0.25">
      <c r="B525"/>
      <c r="C525"/>
      <c r="D525"/>
      <c r="E525"/>
      <c r="F525"/>
      <c r="G525"/>
      <c r="H525"/>
    </row>
    <row r="526" spans="1:13" x14ac:dyDescent="0.25">
      <c r="B526"/>
      <c r="C526"/>
      <c r="D526"/>
      <c r="E526"/>
      <c r="F526"/>
      <c r="G526"/>
      <c r="H526"/>
    </row>
    <row r="527" spans="1:13" x14ac:dyDescent="0.25">
      <c r="B527"/>
      <c r="C527"/>
      <c r="D527"/>
      <c r="E527"/>
      <c r="F527"/>
      <c r="G527"/>
      <c r="H527"/>
    </row>
    <row r="528" spans="1:13" x14ac:dyDescent="0.25">
      <c r="B528"/>
      <c r="C528"/>
      <c r="D528"/>
      <c r="E528"/>
      <c r="F528"/>
      <c r="G528"/>
      <c r="H528"/>
    </row>
    <row r="529" spans="2:8" x14ac:dyDescent="0.25">
      <c r="B529"/>
      <c r="C529"/>
      <c r="D529"/>
      <c r="E529"/>
      <c r="F529"/>
      <c r="G529"/>
      <c r="H529"/>
    </row>
    <row r="530" spans="2:8" x14ac:dyDescent="0.25">
      <c r="B530"/>
      <c r="C530"/>
      <c r="D530"/>
      <c r="E530"/>
      <c r="F530"/>
      <c r="G530"/>
      <c r="H530"/>
    </row>
    <row r="531" spans="2:8" x14ac:dyDescent="0.25">
      <c r="B531"/>
      <c r="C531"/>
      <c r="D531"/>
      <c r="E531"/>
      <c r="F531"/>
      <c r="G531"/>
      <c r="H531"/>
    </row>
    <row r="532" spans="2:8" x14ac:dyDescent="0.25">
      <c r="B532"/>
      <c r="C532"/>
      <c r="D532"/>
      <c r="E532"/>
      <c r="F532"/>
      <c r="G532"/>
      <c r="H532"/>
    </row>
    <row r="533" spans="2:8" x14ac:dyDescent="0.25">
      <c r="B533"/>
      <c r="C533"/>
      <c r="D533"/>
      <c r="E533"/>
      <c r="F533"/>
      <c r="G533"/>
      <c r="H533"/>
    </row>
    <row r="534" spans="2:8" x14ac:dyDescent="0.25">
      <c r="B534"/>
      <c r="C534"/>
      <c r="D534"/>
      <c r="E534"/>
      <c r="F534"/>
      <c r="G534"/>
      <c r="H534"/>
    </row>
    <row r="535" spans="2:8" x14ac:dyDescent="0.25">
      <c r="B535"/>
      <c r="C535"/>
      <c r="D535"/>
      <c r="E535"/>
      <c r="F535"/>
      <c r="G535"/>
      <c r="H535"/>
    </row>
  </sheetData>
  <mergeCells count="87">
    <mergeCell ref="B507:H507"/>
    <mergeCell ref="G513:H513"/>
    <mergeCell ref="B496:H496"/>
    <mergeCell ref="B498:H498"/>
    <mergeCell ref="B500:H500"/>
    <mergeCell ref="B502:H502"/>
    <mergeCell ref="B504:H504"/>
    <mergeCell ref="B506:H506"/>
    <mergeCell ref="B149:H149"/>
    <mergeCell ref="B151:E151"/>
    <mergeCell ref="F151:F154"/>
    <mergeCell ref="G151:G154"/>
    <mergeCell ref="H151:H154"/>
    <mergeCell ref="C152:E152"/>
    <mergeCell ref="D153:E153"/>
    <mergeCell ref="B147:H147"/>
    <mergeCell ref="A134:D134"/>
    <mergeCell ref="A135:D135"/>
    <mergeCell ref="A136:D136"/>
    <mergeCell ref="A137:D137"/>
    <mergeCell ref="A138:D138"/>
    <mergeCell ref="A139:D139"/>
    <mergeCell ref="A140:D140"/>
    <mergeCell ref="A141:D141"/>
    <mergeCell ref="A142:D142"/>
    <mergeCell ref="A143:D143"/>
    <mergeCell ref="B145:H145"/>
    <mergeCell ref="H113:H116"/>
    <mergeCell ref="C114:E114"/>
    <mergeCell ref="D115:E115"/>
    <mergeCell ref="A124:A128"/>
    <mergeCell ref="B124:E124"/>
    <mergeCell ref="F124:F127"/>
    <mergeCell ref="G124:G127"/>
    <mergeCell ref="H124:H127"/>
    <mergeCell ref="C125:E125"/>
    <mergeCell ref="D126:E126"/>
    <mergeCell ref="G113:G116"/>
    <mergeCell ref="B109:E109"/>
    <mergeCell ref="B111:E111"/>
    <mergeCell ref="A113:A117"/>
    <mergeCell ref="B113:E113"/>
    <mergeCell ref="F113:F116"/>
    <mergeCell ref="H94:H97"/>
    <mergeCell ref="C95:E95"/>
    <mergeCell ref="D96:E96"/>
    <mergeCell ref="B62:E62"/>
    <mergeCell ref="A64:A68"/>
    <mergeCell ref="B64:E64"/>
    <mergeCell ref="F64:F67"/>
    <mergeCell ref="G64:G67"/>
    <mergeCell ref="H64:H67"/>
    <mergeCell ref="C65:E65"/>
    <mergeCell ref="D66:E66"/>
    <mergeCell ref="B92:E92"/>
    <mergeCell ref="A94:A97"/>
    <mergeCell ref="B94:E94"/>
    <mergeCell ref="F94:F97"/>
    <mergeCell ref="G94:G97"/>
    <mergeCell ref="H36:H39"/>
    <mergeCell ref="C37:E37"/>
    <mergeCell ref="D38:E38"/>
    <mergeCell ref="A22:E22"/>
    <mergeCell ref="A23:E23"/>
    <mergeCell ref="A24:E24"/>
    <mergeCell ref="A25:E25"/>
    <mergeCell ref="B30:H30"/>
    <mergeCell ref="B32:H32"/>
    <mergeCell ref="B34:E34"/>
    <mergeCell ref="A36:A41"/>
    <mergeCell ref="B36:E36"/>
    <mergeCell ref="F36:F39"/>
    <mergeCell ref="G36:G39"/>
    <mergeCell ref="A27:H27"/>
    <mergeCell ref="A28:H28"/>
    <mergeCell ref="B20:E20"/>
    <mergeCell ref="B1:H1"/>
    <mergeCell ref="B3:H3"/>
    <mergeCell ref="B4:H4"/>
    <mergeCell ref="B6:H6"/>
    <mergeCell ref="B8:H8"/>
    <mergeCell ref="B10:H10"/>
    <mergeCell ref="A14:E14"/>
    <mergeCell ref="A15:E15"/>
    <mergeCell ref="A16:E16"/>
    <mergeCell ref="A17:E17"/>
    <mergeCell ref="A18:E18"/>
  </mergeCells>
  <pageMargins left="0.31496062992125984" right="0.31496062992125984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1 izmjene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2019-07-17T06:19:41Z</cp:lastPrinted>
  <dcterms:created xsi:type="dcterms:W3CDTF">2017-09-19T10:56:48Z</dcterms:created>
  <dcterms:modified xsi:type="dcterms:W3CDTF">2019-09-09T10:29:39Z</dcterms:modified>
</cp:coreProperties>
</file>