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georg\"/>
    </mc:Choice>
  </mc:AlternateContent>
  <bookViews>
    <workbookView xWindow="480" yWindow="105" windowWidth="24240" windowHeight="13620"/>
  </bookViews>
  <sheets>
    <sheet name="važeći sa amandmanima" sheetId="7" r:id="rId1"/>
  </sheets>
  <calcPr calcId="162913"/>
</workbook>
</file>

<file path=xl/calcChain.xml><?xml version="1.0" encoding="utf-8"?>
<calcChain xmlns="http://schemas.openxmlformats.org/spreadsheetml/2006/main">
  <c r="F83" i="7" l="1"/>
  <c r="F66" i="7"/>
  <c r="F100" i="7"/>
  <c r="F72" i="7"/>
  <c r="F71" i="7"/>
  <c r="F85" i="7"/>
  <c r="F382" i="7"/>
  <c r="F381" i="7" s="1"/>
  <c r="F379" i="7" s="1"/>
  <c r="F458" i="7"/>
  <c r="F157" i="7"/>
  <c r="G386" i="7"/>
  <c r="G385" i="7" s="1"/>
  <c r="H386" i="7"/>
  <c r="H385" i="7" s="1"/>
  <c r="F386" i="7"/>
  <c r="F385" i="7" s="1"/>
  <c r="G382" i="7"/>
  <c r="G381" i="7" s="1"/>
  <c r="H382" i="7"/>
  <c r="H381" i="7"/>
  <c r="H379" i="7" s="1"/>
  <c r="G379" i="7" l="1"/>
  <c r="F198" i="7" l="1"/>
  <c r="F322" i="7"/>
  <c r="F280" i="7"/>
  <c r="F355" i="7"/>
  <c r="F467" i="7" l="1"/>
  <c r="F466" i="7" s="1"/>
  <c r="F464" i="7" s="1"/>
  <c r="H466" i="7"/>
  <c r="H464" i="7" s="1"/>
  <c r="G466" i="7"/>
  <c r="G464" i="7"/>
  <c r="F463" i="7"/>
  <c r="F462" i="7" s="1"/>
  <c r="F461" i="7" s="1"/>
  <c r="F459" i="7" s="1"/>
  <c r="H461" i="7"/>
  <c r="G461" i="7"/>
  <c r="G459" i="7" s="1"/>
  <c r="H459" i="7"/>
  <c r="F457" i="7"/>
  <c r="F456" i="7" s="1"/>
  <c r="F454" i="7" s="1"/>
  <c r="H456" i="7"/>
  <c r="G456" i="7"/>
  <c r="G454" i="7" s="1"/>
  <c r="H454" i="7"/>
  <c r="F453" i="7"/>
  <c r="F452" i="7" s="1"/>
  <c r="F451" i="7" s="1"/>
  <c r="F449" i="7" s="1"/>
  <c r="H451" i="7"/>
  <c r="G451" i="7"/>
  <c r="G449" i="7" s="1"/>
  <c r="H449" i="7"/>
  <c r="F447" i="7"/>
  <c r="F446" i="7" s="1"/>
  <c r="F444" i="7" s="1"/>
  <c r="H446" i="7"/>
  <c r="G446" i="7"/>
  <c r="G444" i="7" s="1"/>
  <c r="H444" i="7"/>
  <c r="F443" i="7"/>
  <c r="F442" i="7"/>
  <c r="H441" i="7"/>
  <c r="H437" i="7" s="1"/>
  <c r="H435" i="7" s="1"/>
  <c r="F441" i="7"/>
  <c r="F438" i="7"/>
  <c r="G437" i="7"/>
  <c r="G435" i="7" s="1"/>
  <c r="F434" i="7"/>
  <c r="F433" i="7"/>
  <c r="F432" i="7" s="1"/>
  <c r="F430" i="7" s="1"/>
  <c r="H432" i="7"/>
  <c r="G432" i="7"/>
  <c r="G430" i="7" s="1"/>
  <c r="H430" i="7"/>
  <c r="F425" i="7"/>
  <c r="F424" i="7" s="1"/>
  <c r="F422" i="7" s="1"/>
  <c r="H424" i="7"/>
  <c r="H422" i="7" s="1"/>
  <c r="G424" i="7"/>
  <c r="G422" i="7" s="1"/>
  <c r="F421" i="7"/>
  <c r="F420" i="7" s="1"/>
  <c r="F419" i="7"/>
  <c r="F418" i="7" s="1"/>
  <c r="H417" i="7"/>
  <c r="H415" i="7" s="1"/>
  <c r="G417" i="7"/>
  <c r="G415" i="7" s="1"/>
  <c r="F413" i="7"/>
  <c r="F412" i="7" s="1"/>
  <c r="H412" i="7"/>
  <c r="G412" i="7"/>
  <c r="F410" i="7"/>
  <c r="F409" i="7" s="1"/>
  <c r="H409" i="7"/>
  <c r="G409" i="7"/>
  <c r="G407" i="7" s="1"/>
  <c r="F405" i="7"/>
  <c r="F404" i="7" s="1"/>
  <c r="F401" i="7" s="1"/>
  <c r="F399" i="7"/>
  <c r="F397" i="7"/>
  <c r="F395" i="7" s="1"/>
  <c r="H394" i="7"/>
  <c r="G394" i="7"/>
  <c r="G391" i="7" s="1"/>
  <c r="H391" i="7"/>
  <c r="F377" i="7"/>
  <c r="F376" i="7" s="1"/>
  <c r="F371" i="7" s="1"/>
  <c r="H376" i="7"/>
  <c r="H371" i="7" s="1"/>
  <c r="G376" i="7"/>
  <c r="G371" i="7" s="1"/>
  <c r="F370" i="7"/>
  <c r="F369" i="7" s="1"/>
  <c r="F368" i="7" s="1"/>
  <c r="F366" i="7" s="1"/>
  <c r="H368" i="7"/>
  <c r="G368" i="7"/>
  <c r="H366" i="7"/>
  <c r="G366" i="7"/>
  <c r="F364" i="7"/>
  <c r="F363" i="7" s="1"/>
  <c r="F361" i="7" s="1"/>
  <c r="H363" i="7"/>
  <c r="H361" i="7" s="1"/>
  <c r="G363" i="7"/>
  <c r="G361" i="7" s="1"/>
  <c r="F360" i="7"/>
  <c r="F359" i="7" s="1"/>
  <c r="F358" i="7" s="1"/>
  <c r="F356" i="7" s="1"/>
  <c r="H358" i="7"/>
  <c r="G358" i="7"/>
  <c r="H356" i="7"/>
  <c r="G356" i="7"/>
  <c r="F354" i="7"/>
  <c r="F353" i="7" s="1"/>
  <c r="F351" i="7" s="1"/>
  <c r="H353" i="7"/>
  <c r="G353" i="7"/>
  <c r="H351" i="7"/>
  <c r="G351" i="7"/>
  <c r="G346" i="7"/>
  <c r="G345" i="7" s="1"/>
  <c r="G343" i="7" s="1"/>
  <c r="F346" i="7"/>
  <c r="H345" i="7"/>
  <c r="H343" i="7" s="1"/>
  <c r="F345" i="7"/>
  <c r="F343" i="7" s="1"/>
  <c r="F341" i="7"/>
  <c r="F340" i="7" s="1"/>
  <c r="F338" i="7" s="1"/>
  <c r="H338" i="7"/>
  <c r="G338" i="7"/>
  <c r="F336" i="7"/>
  <c r="F335" i="7" s="1"/>
  <c r="F333" i="7" s="1"/>
  <c r="H335" i="7"/>
  <c r="H333" i="7" s="1"/>
  <c r="G335" i="7"/>
  <c r="G333" i="7"/>
  <c r="F331" i="7"/>
  <c r="F330" i="7" s="1"/>
  <c r="F328" i="7" s="1"/>
  <c r="F326" i="7"/>
  <c r="F325" i="7" s="1"/>
  <c r="F323" i="7" s="1"/>
  <c r="F321" i="7"/>
  <c r="F320" i="7" s="1"/>
  <c r="F318" i="7" s="1"/>
  <c r="H320" i="7"/>
  <c r="H318" i="7" s="1"/>
  <c r="G320" i="7"/>
  <c r="G318" i="7" s="1"/>
  <c r="G315" i="7"/>
  <c r="G314" i="7" s="1"/>
  <c r="G312" i="7" s="1"/>
  <c r="F315" i="7"/>
  <c r="F314" i="7" s="1"/>
  <c r="F312" i="7" s="1"/>
  <c r="H314" i="7"/>
  <c r="H312" i="7" s="1"/>
  <c r="F307" i="7"/>
  <c r="F306" i="7" s="1"/>
  <c r="F304" i="7" s="1"/>
  <c r="H304" i="7"/>
  <c r="G304" i="7"/>
  <c r="F302" i="7"/>
  <c r="F301" i="7" s="1"/>
  <c r="F299" i="7" s="1"/>
  <c r="H299" i="7"/>
  <c r="G299" i="7"/>
  <c r="F297" i="7"/>
  <c r="F296" i="7" s="1"/>
  <c r="F294" i="7" s="1"/>
  <c r="H296" i="7"/>
  <c r="H294" i="7" s="1"/>
  <c r="G296" i="7"/>
  <c r="G294" i="7"/>
  <c r="F292" i="7"/>
  <c r="F291" i="7" s="1"/>
  <c r="F289" i="7" s="1"/>
  <c r="H291" i="7"/>
  <c r="H289" i="7" s="1"/>
  <c r="G291" i="7"/>
  <c r="G289" i="7" s="1"/>
  <c r="F287" i="7"/>
  <c r="F285" i="7" s="1"/>
  <c r="F284" i="7" s="1"/>
  <c r="F282" i="7" s="1"/>
  <c r="F286" i="7"/>
  <c r="G285" i="7"/>
  <c r="G284" i="7" s="1"/>
  <c r="G282" i="7" s="1"/>
  <c r="H284" i="7"/>
  <c r="H282" i="7"/>
  <c r="F278" i="7"/>
  <c r="F277" i="7" s="1"/>
  <c r="F275" i="7" s="1"/>
  <c r="H277" i="7"/>
  <c r="G277" i="7"/>
  <c r="H275" i="7"/>
  <c r="G275" i="7"/>
  <c r="F273" i="7"/>
  <c r="F272" i="7" s="1"/>
  <c r="F270" i="7" s="1"/>
  <c r="H272" i="7"/>
  <c r="H270" i="7" s="1"/>
  <c r="G272" i="7"/>
  <c r="G270" i="7" s="1"/>
  <c r="F269" i="7"/>
  <c r="F268" i="7" s="1"/>
  <c r="F267" i="7" s="1"/>
  <c r="F265" i="7" s="1"/>
  <c r="H268" i="7"/>
  <c r="G268" i="7"/>
  <c r="G267" i="7" s="1"/>
  <c r="G265" i="7" s="1"/>
  <c r="H267" i="7"/>
  <c r="H265" i="7" s="1"/>
  <c r="F263" i="7"/>
  <c r="F262" i="7"/>
  <c r="F261" i="7" s="1"/>
  <c r="H260" i="7"/>
  <c r="G260" i="7"/>
  <c r="G258" i="7" s="1"/>
  <c r="H258" i="7"/>
  <c r="F254" i="7"/>
  <c r="F253" i="7" s="1"/>
  <c r="F252" i="7" s="1"/>
  <c r="F250" i="7" s="1"/>
  <c r="H253" i="7"/>
  <c r="G253" i="7"/>
  <c r="G252" i="7" s="1"/>
  <c r="G250" i="7" s="1"/>
  <c r="H252" i="7"/>
  <c r="H250" i="7" s="1"/>
  <c r="F249" i="7"/>
  <c r="F248" i="7" s="1"/>
  <c r="F247" i="7" s="1"/>
  <c r="F245" i="7" s="1"/>
  <c r="H247" i="7"/>
  <c r="H245" i="7" s="1"/>
  <c r="G247" i="7"/>
  <c r="G245" i="7" s="1"/>
  <c r="F243" i="7"/>
  <c r="F242" i="7" s="1"/>
  <c r="F240" i="7" s="1"/>
  <c r="H242" i="7"/>
  <c r="G242" i="7"/>
  <c r="G240" i="7" s="1"/>
  <c r="H240" i="7"/>
  <c r="F239" i="7"/>
  <c r="F238" i="7" s="1"/>
  <c r="F236" i="7"/>
  <c r="H235" i="7"/>
  <c r="H233" i="7" s="1"/>
  <c r="G235" i="7"/>
  <c r="G233" i="7" s="1"/>
  <c r="F231" i="7"/>
  <c r="F230" i="7" s="1"/>
  <c r="F228" i="7" s="1"/>
  <c r="H230" i="7"/>
  <c r="G230" i="7"/>
  <c r="G228" i="7" s="1"/>
  <c r="H228" i="7"/>
  <c r="F223" i="7"/>
  <c r="F222" i="7" s="1"/>
  <c r="F220" i="7" s="1"/>
  <c r="H220" i="7"/>
  <c r="G220" i="7"/>
  <c r="F218" i="7"/>
  <c r="F217" i="7" s="1"/>
  <c r="F215" i="7" s="1"/>
  <c r="H215" i="7"/>
  <c r="G215" i="7"/>
  <c r="F214" i="7"/>
  <c r="F213" i="7"/>
  <c r="H211" i="7"/>
  <c r="G211" i="7"/>
  <c r="G209" i="7" s="1"/>
  <c r="H209" i="7"/>
  <c r="H206" i="7"/>
  <c r="G206" i="7"/>
  <c r="F206" i="7"/>
  <c r="F203" i="7"/>
  <c r="H202" i="7"/>
  <c r="G202" i="7"/>
  <c r="G200" i="7" s="1"/>
  <c r="H200" i="7"/>
  <c r="F199" i="7"/>
  <c r="F197" i="7"/>
  <c r="H195" i="7"/>
  <c r="G195" i="7"/>
  <c r="H193" i="7"/>
  <c r="G193" i="7"/>
  <c r="F192" i="7"/>
  <c r="F191" i="7" s="1"/>
  <c r="F189" i="7"/>
  <c r="H188" i="7"/>
  <c r="G188" i="7"/>
  <c r="F187" i="7"/>
  <c r="F186" i="7" s="1"/>
  <c r="F185" i="7"/>
  <c r="F183" i="7"/>
  <c r="F182" i="7"/>
  <c r="F181" i="7"/>
  <c r="H180" i="7"/>
  <c r="H175" i="7" s="1"/>
  <c r="G180" i="7"/>
  <c r="F178" i="7"/>
  <c r="F177" i="7"/>
  <c r="F176" i="7" s="1"/>
  <c r="G175" i="7"/>
  <c r="F168" i="7"/>
  <c r="F167" i="7" s="1"/>
  <c r="F166" i="7" s="1"/>
  <c r="F164" i="7" s="1"/>
  <c r="H166" i="7"/>
  <c r="G166" i="7"/>
  <c r="H164" i="7"/>
  <c r="G164" i="7"/>
  <c r="F163" i="7"/>
  <c r="F162" i="7" s="1"/>
  <c r="F160" i="7"/>
  <c r="F159" i="7" s="1"/>
  <c r="F156" i="7"/>
  <c r="H155" i="7"/>
  <c r="G155" i="7"/>
  <c r="G153" i="7" s="1"/>
  <c r="H153" i="7"/>
  <c r="H136" i="7"/>
  <c r="G136" i="7"/>
  <c r="F132" i="7"/>
  <c r="F131" i="7"/>
  <c r="F123" i="7"/>
  <c r="F122" i="7" s="1"/>
  <c r="F22" i="7" s="1"/>
  <c r="H122" i="7"/>
  <c r="G122" i="7"/>
  <c r="G22" i="7" s="1"/>
  <c r="F112" i="7"/>
  <c r="F111" i="7" s="1"/>
  <c r="F21" i="7" s="1"/>
  <c r="H111" i="7"/>
  <c r="H21" i="7" s="1"/>
  <c r="G111" i="7"/>
  <c r="G21" i="7" s="1"/>
  <c r="F99" i="7"/>
  <c r="H98" i="7"/>
  <c r="F98" i="7"/>
  <c r="F97" i="7"/>
  <c r="F95" i="7"/>
  <c r="H94" i="7"/>
  <c r="G94" i="7"/>
  <c r="G16" i="7" s="1"/>
  <c r="F84" i="7"/>
  <c r="F82" i="7"/>
  <c r="F81" i="7"/>
  <c r="F80" i="7" s="1"/>
  <c r="F79" i="7"/>
  <c r="F78" i="7" s="1"/>
  <c r="F77" i="7"/>
  <c r="F76" i="7"/>
  <c r="F75" i="7" s="1"/>
  <c r="F74" i="7"/>
  <c r="F73" i="7"/>
  <c r="F70" i="7"/>
  <c r="H69" i="7"/>
  <c r="H64" i="7" s="1"/>
  <c r="H15" i="7" s="1"/>
  <c r="G69" i="7"/>
  <c r="F68" i="7"/>
  <c r="F67" i="7"/>
  <c r="G64" i="7"/>
  <c r="G15" i="7" s="1"/>
  <c r="F53" i="7"/>
  <c r="F52" i="7"/>
  <c r="F51" i="7"/>
  <c r="H49" i="7"/>
  <c r="G49" i="7"/>
  <c r="F47" i="7"/>
  <c r="F46" i="7" s="1"/>
  <c r="G46" i="7"/>
  <c r="F43" i="7"/>
  <c r="F42" i="7"/>
  <c r="H41" i="7"/>
  <c r="H36" i="7" s="1"/>
  <c r="H14" i="7" s="1"/>
  <c r="G41" i="7"/>
  <c r="F40" i="7"/>
  <c r="F39" i="7"/>
  <c r="F38" i="7"/>
  <c r="G37" i="7"/>
  <c r="H22" i="7"/>
  <c r="H16" i="7"/>
  <c r="G23" i="7" l="1"/>
  <c r="F49" i="7"/>
  <c r="F136" i="7"/>
  <c r="H152" i="7"/>
  <c r="H150" i="7" s="1"/>
  <c r="H149" i="7" s="1"/>
  <c r="H173" i="7"/>
  <c r="H172" i="7" s="1"/>
  <c r="H170" i="7" s="1"/>
  <c r="F188" i="7"/>
  <c r="F196" i="7"/>
  <c r="F195" i="7" s="1"/>
  <c r="F193" i="7" s="1"/>
  <c r="F212" i="7"/>
  <c r="F211" i="7" s="1"/>
  <c r="F209" i="7" s="1"/>
  <c r="H350" i="7"/>
  <c r="F41" i="7"/>
  <c r="F260" i="7"/>
  <c r="F258" i="7" s="1"/>
  <c r="G350" i="7"/>
  <c r="G348" i="7" s="1"/>
  <c r="F350" i="7"/>
  <c r="F155" i="7"/>
  <c r="F153" i="7" s="1"/>
  <c r="F152" i="7" s="1"/>
  <c r="F150" i="7" s="1"/>
  <c r="F149" i="7" s="1"/>
  <c r="G36" i="7"/>
  <c r="G14" i="7" s="1"/>
  <c r="G17" i="7" s="1"/>
  <c r="F37" i="7"/>
  <c r="H17" i="7"/>
  <c r="G173" i="7"/>
  <c r="F202" i="7"/>
  <c r="F200" i="7" s="1"/>
  <c r="F235" i="7"/>
  <c r="F233" i="7" s="1"/>
  <c r="F227" i="7" s="1"/>
  <c r="F225" i="7" s="1"/>
  <c r="F394" i="7"/>
  <c r="F391" i="7" s="1"/>
  <c r="H407" i="7"/>
  <c r="F65" i="7"/>
  <c r="F94" i="7"/>
  <c r="F16" i="7" s="1"/>
  <c r="F23" i="7"/>
  <c r="H23" i="7"/>
  <c r="F417" i="7"/>
  <c r="F415" i="7" s="1"/>
  <c r="G172" i="7"/>
  <c r="G170" i="7" s="1"/>
  <c r="G257" i="7"/>
  <c r="G255" i="7" s="1"/>
  <c r="H390" i="7"/>
  <c r="H388" i="7" s="1"/>
  <c r="F407" i="7"/>
  <c r="G429" i="7"/>
  <c r="G427" i="7" s="1"/>
  <c r="F69" i="7"/>
  <c r="G152" i="7"/>
  <c r="G150" i="7" s="1"/>
  <c r="G149" i="7" s="1"/>
  <c r="F180" i="7"/>
  <c r="F175" i="7" s="1"/>
  <c r="H257" i="7"/>
  <c r="H255" i="7" s="1"/>
  <c r="G311" i="7"/>
  <c r="G309" i="7" s="1"/>
  <c r="G390" i="7"/>
  <c r="G388" i="7" s="1"/>
  <c r="F437" i="7"/>
  <c r="F435" i="7" s="1"/>
  <c r="F429" i="7" s="1"/>
  <c r="F427" i="7" s="1"/>
  <c r="H311" i="7"/>
  <c r="H309" i="7" s="1"/>
  <c r="H348" i="7"/>
  <c r="H227" i="7"/>
  <c r="H225" i="7" s="1"/>
  <c r="F257" i="7"/>
  <c r="F255" i="7" s="1"/>
  <c r="G227" i="7"/>
  <c r="G225" i="7" s="1"/>
  <c r="F311" i="7"/>
  <c r="F309" i="7" s="1"/>
  <c r="F348" i="7"/>
  <c r="H429" i="7"/>
  <c r="H427" i="7" s="1"/>
  <c r="F173" i="7" l="1"/>
  <c r="F390" i="7"/>
  <c r="F388" i="7" s="1"/>
  <c r="F36" i="7"/>
  <c r="F14" i="7" s="1"/>
  <c r="G169" i="7"/>
  <c r="F172" i="7"/>
  <c r="F170" i="7" s="1"/>
  <c r="F64" i="7"/>
  <c r="F15" i="7" s="1"/>
  <c r="H169" i="7"/>
  <c r="F169" i="7" l="1"/>
  <c r="F17" i="7"/>
</calcChain>
</file>

<file path=xl/sharedStrings.xml><?xml version="1.0" encoding="utf-8"?>
<sst xmlns="http://schemas.openxmlformats.org/spreadsheetml/2006/main" count="518" uniqueCount="219">
  <si>
    <t>Razred</t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</si>
  <si>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</si>
  <si>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</si>
  <si>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</si>
  <si>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</si>
  <si>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</si>
  <si>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RASHODI POSLOVANJA</t>
  </si>
  <si>
    <t>Rashodi za zaposlene</t>
  </si>
  <si>
    <t>Plaće - načelnik</t>
  </si>
  <si>
    <t>Ostali rashodi za zaposlene</t>
  </si>
  <si>
    <t>Doprinosi na plaće</t>
  </si>
  <si>
    <t>Materijalni rashodi</t>
  </si>
  <si>
    <t>Naknade troškova zaposlenima</t>
  </si>
  <si>
    <t>Rashodi za usluge</t>
  </si>
  <si>
    <t>Ostali nespomenuti rashodi poslovanja</t>
  </si>
  <si>
    <t>Ostali rashodi</t>
  </si>
  <si>
    <t>A100002: Dani Općine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</si>
  <si>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</si>
  <si>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</si>
  <si>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</si>
  <si>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</si>
  <si>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>Plaće</t>
  </si>
  <si>
    <t>Rashodi za materijal i energiju</t>
  </si>
  <si>
    <t>Financijski rashodi</t>
  </si>
  <si>
    <t>Ostali financijski rashodi</t>
  </si>
  <si>
    <t>A100034: Mjera radom za zajednicu i sebe-javni radovi</t>
  </si>
  <si>
    <t>A100004: Održavanje zgrada za redovno korištenje</t>
  </si>
  <si>
    <t>A100005: Održavanje plovila i stočnih vaga za redovno korištenje</t>
  </si>
  <si>
    <t>GLAVA 00202 - CIVILNA I PROTUPOŽARNA ZAŠTITA</t>
  </si>
  <si>
    <t>Funkcijska klasifikacija: 03 Javni red i sigurnost</t>
  </si>
  <si>
    <t>Izvor: 01 Opći prihodi i primici</t>
  </si>
  <si>
    <t>Tekuće donacije</t>
  </si>
  <si>
    <t>A100007: Protupožarna zaštita</t>
  </si>
  <si>
    <t>Pomoći dane u inozemstvo i unutar općeg proračuna</t>
  </si>
  <si>
    <t>Pomoći unutar općeg proračuna</t>
  </si>
  <si>
    <t>GLAVA 00203 - GOSPODARSKE I KOMUNALNE DJELATNOSTI</t>
  </si>
  <si>
    <t>Funkcijska klasifikacija: 04 Ekonomski poslovi</t>
  </si>
  <si>
    <t>Program: 1004 Poticanje razvoja gospodarstva</t>
  </si>
  <si>
    <t>Subvencije</t>
  </si>
  <si>
    <t>Tekuće donacije - Civilno društvo i LAG Podravina</t>
  </si>
  <si>
    <t>RASHODI ZA NABAVU NEFINANCIJSKE IMOVINE</t>
  </si>
  <si>
    <t>Rashodi za nabavu proizvedene dugotrajne imovine</t>
  </si>
  <si>
    <t>K100002: Asfaltiranje cesta</t>
  </si>
  <si>
    <t>Ceste-asfaltiranje</t>
  </si>
  <si>
    <t>A100010: Bušenje ispod ceste</t>
  </si>
  <si>
    <t>Naknade građanima i kućanstvima</t>
  </si>
  <si>
    <t>Ostale naknade građanima i kućanstvima</t>
  </si>
  <si>
    <t>A100011: Održavanje cesta i drugih javnih površina</t>
  </si>
  <si>
    <t>A100012: Održavanje groblja</t>
  </si>
  <si>
    <t>Rashodi poslovanja</t>
  </si>
  <si>
    <t>Subvencije poljoprivrednicima</t>
  </si>
  <si>
    <t>Rashodi za nabavu nefinancijske imovine</t>
  </si>
  <si>
    <t>Građevinski objekti</t>
  </si>
  <si>
    <t>Rashodi za nabavu neproizvedene dugotrajne imovine</t>
  </si>
  <si>
    <t>Nematerijalna imovina</t>
  </si>
  <si>
    <t>GLAVA 00204 - KOMUNALNA INFRASTRUKTURA</t>
  </si>
  <si>
    <t>Funkcijska klasifikacija: 06 Usluge unapređenja stanovanja i zajednice</t>
  </si>
  <si>
    <t>A100013: Javna rasvjeta</t>
  </si>
  <si>
    <t>A100014: Komunalne usluge</t>
  </si>
  <si>
    <t>GLAVA 00205: DJELATNOST ŠPORTA, KULTURE I RELIGIJE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</si>
  <si>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</si>
  <si>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</si>
  <si>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</si>
  <si>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>A100018: Pomoć vjerskoj zajednici</t>
  </si>
  <si>
    <t>GLAVA 00206: JAVNE POTREBE U OBRAZOVANJU</t>
  </si>
  <si>
    <t>Funkcijska klasifikacija: 09 Obrazovanje</t>
  </si>
  <si>
    <t>Program: 1007 Program obrazovanja</t>
  </si>
  <si>
    <t>Proračunski korisnik: 48015 Dječji vrtić "Bregunica"</t>
  </si>
  <si>
    <t>Postrojenja i oprema</t>
  </si>
  <si>
    <t>Kamate za primljene kredite i zajmove</t>
  </si>
  <si>
    <t>IZDACI ZA FINANCIJSKU IMOVINU I OTPLATE ZAJMOVA</t>
  </si>
  <si>
    <t>Izdaci za otplatu glavnice primljenih kredita i zajmova</t>
  </si>
  <si>
    <t>Otplata glavnice primljenih kredita i zajmova od trgovačkih društava u javnom sektoru</t>
  </si>
  <si>
    <t>A100021: Osnovno obrazovanje</t>
  </si>
  <si>
    <t>Pomoći dane u inozemstvo i unutar opće države</t>
  </si>
  <si>
    <t>Ostale naknade građanima i kućanstvima iz proračuna</t>
  </si>
  <si>
    <t>GLAVA 00207: PROGRAMSKA DJELATNOST SOCIJALNE SKRBI</t>
  </si>
  <si>
    <t>Funkcijska klasifikacija: 10 Socijalna zaštita</t>
  </si>
  <si>
    <t>A100023: Gerontoprogram i drva za socijalno ugrožene obitelji</t>
  </si>
  <si>
    <t>A100025: Darovi za novorođenčad i božićni darovi</t>
  </si>
  <si>
    <t>A100032: Donacije Crvenom križu</t>
  </si>
  <si>
    <t>I. OPĆI DIO</t>
  </si>
  <si>
    <t>Članak 1.</t>
  </si>
  <si>
    <t>PRIMICI OD FINANCIJSKE IMOVINE I ZADUŽIVANJA</t>
  </si>
  <si>
    <t>NETO ZADUŽIVANJA/FINANCIRANJE</t>
  </si>
  <si>
    <t>Članak 2.</t>
  </si>
  <si>
    <t>A. RAČUN  PRIHODA I RASHODA</t>
  </si>
  <si>
    <t>Skupina</t>
  </si>
  <si>
    <t>Podskupina</t>
  </si>
  <si>
    <t>Naziv</t>
  </si>
  <si>
    <t>Prihodi poslovanja</t>
  </si>
  <si>
    <t>Prihodi od poreza</t>
  </si>
  <si>
    <t>Porezi na imovinu</t>
  </si>
  <si>
    <t>Porezi na robu i usluge</t>
  </si>
  <si>
    <t>Pomoći iz inozemstva (darovnice) i od subjekata unutar općeg proračuna</t>
  </si>
  <si>
    <t>Tekuće pomoći proračuna</t>
  </si>
  <si>
    <t>Tekuće pomoći HZZ i izvanproračunskih korisnika</t>
  </si>
  <si>
    <t>Pomoći izravnanja za decentralizirane funkcije</t>
  </si>
  <si>
    <t>Tek.pomoći iz drž.pro.temeljem prijenosa iz EU</t>
  </si>
  <si>
    <t>Prihodi od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</si>
  <si>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</si>
  <si>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</si>
  <si>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</si>
  <si>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</si>
  <si>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Prihodi po posebnim propisima</t>
  </si>
  <si>
    <t>Komunalni doprinos i naknade</t>
  </si>
  <si>
    <t>Plaće (bruto)</t>
  </si>
  <si>
    <t>Naknade ostalih troškova</t>
  </si>
  <si>
    <t>Materijalna imovina</t>
  </si>
  <si>
    <t>B. RAČUN FINANCIRANJA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</si>
  <si>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</si>
  <si>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</si>
  <si>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</si>
  <si>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</si>
  <si>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Otplata glavnice primljenih zajmova od trgovačkih društava u javnom sektoru</t>
  </si>
  <si>
    <t>II. POSEBNI DIO</t>
  </si>
  <si>
    <t>Članak 3.</t>
  </si>
  <si>
    <t>Program: 1003 Organiziranje i provođenje zaštite i spašavanja</t>
  </si>
  <si>
    <t>A100006: Civilna zaštita</t>
  </si>
  <si>
    <t>A100008: Spriječavanje nasilja u obitelji te sajam mogućnosti</t>
  </si>
  <si>
    <t>A100027 Poticanje stjecanje znanja i vještina u poljoprivrednoj djelatnosti</t>
  </si>
  <si>
    <t>A100035: Program zaštite divljači</t>
  </si>
  <si>
    <t>Program: 1005 Održavanje komunalne infrastrukture</t>
  </si>
  <si>
    <t xml:space="preserve">A100016: Službe kulture </t>
  </si>
  <si>
    <t>A100017: Usluga Bibliobusa</t>
  </si>
  <si>
    <t>A100019: Predškolski odgoj DV "BREGUNICA"</t>
  </si>
  <si>
    <t>A100020: Otplata dugoročnog kredita za izgradnju dječjeg vrtića</t>
  </si>
  <si>
    <t>Pomoći unutar opće države</t>
  </si>
  <si>
    <t>A100022: Troškovi prijevoza studentima i srednjoškolcima</t>
  </si>
  <si>
    <t>Program: 1008 Socijalna skrb te promicanje prava i interesa osoba s invaliditetom</t>
  </si>
  <si>
    <t xml:space="preserve">A100024: Donacije i ostali rashodi </t>
  </si>
  <si>
    <t>A100031: Donacije fizičkim osobama ostale donacije</t>
  </si>
  <si>
    <t>Članak 4.</t>
  </si>
  <si>
    <t>III. ZAVRŠNA ODREDBA</t>
  </si>
  <si>
    <t>Članak 5.</t>
  </si>
  <si>
    <t>OPĆINSKO VIJEĆE</t>
  </si>
  <si>
    <t>OPĆINE NOVO VIRJE</t>
  </si>
  <si>
    <t>Projekcija proračuna za 2020.</t>
  </si>
  <si>
    <t>Tekuće donacije - političke stranke, udruga općina</t>
  </si>
  <si>
    <t xml:space="preserve">T100004:Strategija, plan i registar imovine </t>
  </si>
  <si>
    <t>Rashodi za nabavu nefinanc.imovine</t>
  </si>
  <si>
    <t>A100038: Energetski certifikat javne rasvjete</t>
  </si>
  <si>
    <t>A100039: Istražni radovi i plan sanacije odlagalište otpada</t>
  </si>
  <si>
    <t>Materijani rashodi</t>
  </si>
  <si>
    <t xml:space="preserve">Subvencije poljoprivrednicima </t>
  </si>
  <si>
    <t xml:space="preserve">A100009: Potpora poljoprivredi </t>
  </si>
  <si>
    <t xml:space="preserve">Subvencije trgovačkim društvima, poljoprivrednicima </t>
  </si>
  <si>
    <t>A100037:Projekt zaželi</t>
  </si>
  <si>
    <t>A10003:Imovinsko pravni odnosi za ceste</t>
  </si>
  <si>
    <t>A100030: Naknada za troškove stanovanja i naknade umirovljenicima</t>
  </si>
  <si>
    <t xml:space="preserve">A100038: Zaštita na radu </t>
  </si>
  <si>
    <t>A100041:Gorska služba spašavanja</t>
  </si>
  <si>
    <t>I PROJEKCIJE ZA 2020. I 2021. GODINU</t>
  </si>
  <si>
    <t xml:space="preserve">            Proračun Općine Novo Virje za 2019. godinu (u daljnjem tekstu: Proračun) i projekcije za 2020. i 2021. godinu sastoje se od:</t>
  </si>
  <si>
    <t xml:space="preserve">            Plan razvojnih programa Općine Novo Virje za razdoblje od 2019.- 2021. godine je sastavni dio Proračuna i nalazi se u njegovom prilogu. </t>
  </si>
  <si>
    <t xml:space="preserve">            Ovaj Proračun objavit će se u "Službenom glasniku Koprivničko - križevačke županije", a stupa na snagu 1. siječnja 2019. godine.</t>
  </si>
  <si>
    <t>Proračun za 2019.</t>
  </si>
  <si>
    <t>Projekcija proračuna za 2021.</t>
  </si>
  <si>
    <t>Kazne, upravne mjere i ostali prihodi</t>
  </si>
  <si>
    <t>Ostali prihodi</t>
  </si>
  <si>
    <t>RASHODI ZA NABAVU PROIZVEDENE DUGOTRAJNE IMOVINE</t>
  </si>
  <si>
    <t>A100050:Izrada projektne dokumentacije vatrogasnih domova</t>
  </si>
  <si>
    <t xml:space="preserve">Izvor: 01 Opći prihodi i primici </t>
  </si>
  <si>
    <t>K:100011: Kante za odvojeni otpad</t>
  </si>
  <si>
    <t>K:100012: Mobilno reciklažno dvorište</t>
  </si>
  <si>
    <t>K100006: Opremanje dj. Igrališta Drenovica</t>
  </si>
  <si>
    <t xml:space="preserve">Doprinosi na plaće </t>
  </si>
  <si>
    <t xml:space="preserve">Rashodi za materijal i energiju </t>
  </si>
  <si>
    <t xml:space="preserve">K100012: Izgradnja vodnokom. infrastrukture aglomeracije </t>
  </si>
  <si>
    <t>A100039: Projektna dokumentacija za ulice</t>
  </si>
  <si>
    <t>K100004: Opremanje dječjeg vrtića</t>
  </si>
  <si>
    <t>01</t>
  </si>
  <si>
    <t>Opći prihodi i primici</t>
  </si>
  <si>
    <t>02</t>
  </si>
  <si>
    <t>Doprinosi</t>
  </si>
  <si>
    <t>03</t>
  </si>
  <si>
    <t>Vlastiti prihodi</t>
  </si>
  <si>
    <t>04</t>
  </si>
  <si>
    <t>Prihodi za posebne namjene</t>
  </si>
  <si>
    <t>05</t>
  </si>
  <si>
    <t>Pomoći</t>
  </si>
  <si>
    <t>06</t>
  </si>
  <si>
    <t>Donacije</t>
  </si>
  <si>
    <t>07</t>
  </si>
  <si>
    <t>08</t>
  </si>
  <si>
    <t>Namjenski primici</t>
  </si>
  <si>
    <t>Šifre izvora financiranja</t>
  </si>
  <si>
    <t>Projekcija Proračuna za 2020.</t>
  </si>
  <si>
    <t>Projekcija Proračuna za 2021.</t>
  </si>
  <si>
    <t>Prihodi od prodaje ili zamjene nef. imovine i naknada s naslova osiguranja</t>
  </si>
  <si>
    <t>Ukupno po izvorima:</t>
  </si>
  <si>
    <t xml:space="preserve">            Rashodi poslovanja i rashodi za nabavu nefinancijske imovine u Proračunu u ukupnoj svoti 4.943.894,59 kuna raspoređuju se po korisnicima i programima u Posebnom dijelu Proračuna, kako slijedi:</t>
  </si>
  <si>
    <t>Izvor: 01 Opći prihodi i primici i 04 Prihodi za posebne namjene</t>
  </si>
  <si>
    <t>Izvor: 01 Opći prihodi i primici i 04 prihodi za posebne namjene</t>
  </si>
  <si>
    <t>Izvor: 01 Opći prihodi i primici i 05 Pomoći</t>
  </si>
  <si>
    <t>Izvor: 01 Opći prihodi i primici 05 Pomoći</t>
  </si>
  <si>
    <t>Izvor: 05 Pomoći</t>
  </si>
  <si>
    <t xml:space="preserve">K100007: Opremanje dj.igrališta Crnec i Medvedička </t>
  </si>
  <si>
    <t>RASHODI ZA NABAVU NEF. IMOVINE</t>
  </si>
  <si>
    <t xml:space="preserve">Porez i prirez na dohodak </t>
  </si>
  <si>
    <t xml:space="preserve"> PRORAČUN OPĆINE NOVO VIRJE ZA 2019. GODINU</t>
  </si>
  <si>
    <t>Izvor financiranja</t>
  </si>
  <si>
    <t>01,04</t>
  </si>
  <si>
    <t>01,05</t>
  </si>
  <si>
    <t>01,04,05</t>
  </si>
  <si>
    <t>RAZLIKA- VIŠAK/MANJAK</t>
  </si>
  <si>
    <t>6) PRIHODI POSLOVANJA</t>
  </si>
  <si>
    <t>3) RASHODI POSLOVANJA</t>
  </si>
  <si>
    <t>4) RASHODI ZA NABAVU NEFINANCIJSKE IMOVINE</t>
  </si>
  <si>
    <t>8) PRIMICI OD FINANCIJSKE IMOVINE I ZADUŽIVANJA</t>
  </si>
  <si>
    <t>5) ZAJMOVA</t>
  </si>
  <si>
    <t>Katarina Kozarić Šabarić</t>
  </si>
  <si>
    <t>KLASA: 400-06/18-01/09</t>
  </si>
  <si>
    <t xml:space="preserve">URBROJ: 2137/22-18-10 </t>
  </si>
  <si>
    <t xml:space="preserve">Novo Virje, 19. prosinca 2018.                               </t>
  </si>
  <si>
    <t xml:space="preserve">            Na temelju članka 39. Zakona o proračunu ("Narodne novine" broj 87/08, 136/12. i 15/15) i članka 29. Statuta Općine Novo Virje ("Službeni glasnik Koprivničko - križevačke županije" broj 6/13. i 3/18), Općinsko vijeće Općine Novo Virje na 15. sjednici održanoj 19. prosinca 2018. donijelo je </t>
  </si>
  <si>
    <t>A. RAČUN PRIHODA I RASHODA</t>
  </si>
  <si>
    <t xml:space="preserve">            Prihodi i rashodi te primici i izdaci po ekonomskoj klasifikaciji utvrđeni su u A. Računu prihoda i rashoda i B. Računu financiranja u Proračunu i projekcijama za 2020. i 2021. godinu, kako slijedi:</t>
  </si>
  <si>
    <t xml:space="preserve">                  PREDSJEDNICA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</si>
</sst>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b/>
      <sz val="8"/>
      <color rgb="FF000000"/>
      <name val="Arial"/>
      <family val="2"/>
      <charset val="238"/>
    </font>
    <font>
      <b/>
      <sz val="10"/>
      <color theme="3" tint="0.39997558519241921"/>
      <name val="Arial"/>
      <family val="2"/>
      <charset val="238"/>
    </font>
    <font>
      <sz val="10"/>
      <color rgb="FFC00000"/>
      <name val="Arial"/>
      <family val="2"/>
      <charset val="238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b/>
      <sz val="7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C3D69B"/>
        <bgColor rgb="FFDDD9C3"/>
      </patternFill>
    </fill>
    <fill>
      <patternFill patternType="solid">
        <fgColor rgb="FFBFBFBF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rgb="FFFAC090"/>
        <bgColor rgb="FFFCD5B5"/>
      </patternFill>
    </fill>
    <fill>
      <patternFill patternType="solid">
        <fgColor theme="9" tint="0.59999389629810485"/>
        <bgColor rgb="FFDDD9C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1">
    <xf numFmtId="0" fontId="0" fillId="0" borderId="0" xfId="0"/>
    <xf numFmtId="0" fontId="3" fillId="0" borderId="0" xfId="1" applyFont="1"/>
    <xf numFmtId="0" fontId="0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wrapText="1"/>
    </xf>
    <xf numFmtId="4" fontId="3" fillId="0" borderId="0" xfId="1" applyNumberFormat="1" applyFont="1"/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0" fontId="5" fillId="0" borderId="1" xfId="0" applyFont="1" applyBorder="1"/>
    <xf numFmtId="4" fontId="5" fillId="0" borderId="1" xfId="0" applyNumberFormat="1" applyFont="1" applyBorder="1"/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4" fontId="5" fillId="0" borderId="0" xfId="0" applyNumberFormat="1" applyFont="1" applyBorder="1"/>
    <xf numFmtId="0" fontId="5" fillId="2" borderId="1" xfId="0" applyFont="1" applyFill="1" applyBorder="1"/>
    <xf numFmtId="0" fontId="3" fillId="2" borderId="1" xfId="0" applyFont="1" applyFill="1" applyBorder="1" applyAlignment="1">
      <alignment wrapText="1"/>
    </xf>
    <xf numFmtId="4" fontId="4" fillId="2" borderId="1" xfId="0" applyNumberFormat="1" applyFont="1" applyFill="1" applyBorder="1"/>
    <xf numFmtId="0" fontId="5" fillId="3" borderId="1" xfId="0" applyFont="1" applyFill="1" applyBorder="1"/>
    <xf numFmtId="0" fontId="6" fillId="3" borderId="1" xfId="0" applyFont="1" applyFill="1" applyBorder="1" applyAlignment="1">
      <alignment wrapText="1"/>
    </xf>
    <xf numFmtId="4" fontId="4" fillId="3" borderId="1" xfId="0" applyNumberFormat="1" applyFont="1" applyFill="1" applyBorder="1"/>
    <xf numFmtId="0" fontId="6" fillId="0" borderId="1" xfId="0" applyFont="1" applyBorder="1" applyAlignment="1">
      <alignment wrapText="1"/>
    </xf>
    <xf numFmtId="0" fontId="5" fillId="4" borderId="1" xfId="0" applyFont="1" applyFill="1" applyBorder="1"/>
    <xf numFmtId="0" fontId="6" fillId="4" borderId="1" xfId="0" applyFont="1" applyFill="1" applyBorder="1" applyAlignment="1">
      <alignment wrapText="1"/>
    </xf>
    <xf numFmtId="4" fontId="4" fillId="4" borderId="1" xfId="0" applyNumberFormat="1" applyFont="1" applyFill="1" applyBorder="1"/>
    <xf numFmtId="0" fontId="5" fillId="0" borderId="5" xfId="0" applyFont="1" applyBorder="1"/>
    <xf numFmtId="0" fontId="3" fillId="5" borderId="1" xfId="0" applyFont="1" applyFill="1" applyBorder="1"/>
    <xf numFmtId="4" fontId="4" fillId="5" borderId="1" xfId="0" applyNumberFormat="1" applyFont="1" applyFill="1" applyBorder="1"/>
    <xf numFmtId="0" fontId="7" fillId="0" borderId="1" xfId="0" applyFont="1" applyBorder="1"/>
    <xf numFmtId="4" fontId="4" fillId="0" borderId="0" xfId="0" applyNumberFormat="1" applyFont="1" applyBorder="1"/>
    <xf numFmtId="0" fontId="3" fillId="0" borderId="1" xfId="0" applyFont="1" applyBorder="1"/>
    <xf numFmtId="0" fontId="2" fillId="0" borderId="1" xfId="0" applyFont="1" applyBorder="1"/>
    <xf numFmtId="0" fontId="3" fillId="0" borderId="0" xfId="0" applyFont="1" applyBorder="1"/>
    <xf numFmtId="0" fontId="3" fillId="0" borderId="5" xfId="0" applyFont="1" applyBorder="1"/>
    <xf numFmtId="0" fontId="8" fillId="0" borderId="1" xfId="0" applyFont="1" applyBorder="1"/>
    <xf numFmtId="0" fontId="2" fillId="0" borderId="0" xfId="0" applyFont="1" applyBorder="1"/>
    <xf numFmtId="0" fontId="3" fillId="2" borderId="6" xfId="0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4" borderId="6" xfId="0" applyFont="1" applyFill="1" applyBorder="1" applyAlignment="1">
      <alignment wrapText="1"/>
    </xf>
    <xf numFmtId="0" fontId="3" fillId="5" borderId="6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5" borderId="4" xfId="0" applyFont="1" applyFill="1" applyBorder="1" applyAlignment="1">
      <alignment wrapText="1"/>
    </xf>
    <xf numFmtId="0" fontId="2" fillId="0" borderId="5" xfId="0" applyFont="1" applyBorder="1"/>
    <xf numFmtId="0" fontId="3" fillId="5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4" fillId="0" borderId="0" xfId="0" applyFont="1" applyBorder="1"/>
    <xf numFmtId="0" fontId="4" fillId="0" borderId="5" xfId="0" applyFont="1" applyBorder="1"/>
    <xf numFmtId="0" fontId="4" fillId="5" borderId="1" xfId="0" applyFont="1" applyFill="1" applyBorder="1"/>
    <xf numFmtId="0" fontId="6" fillId="0" borderId="1" xfId="0" applyFont="1" applyBorder="1"/>
    <xf numFmtId="0" fontId="2" fillId="0" borderId="1" xfId="0" applyFont="1" applyBorder="1" applyAlignment="1">
      <alignment wrapText="1"/>
    </xf>
    <xf numFmtId="0" fontId="6" fillId="0" borderId="0" xfId="0" applyFont="1" applyBorder="1"/>
    <xf numFmtId="0" fontId="4" fillId="5" borderId="1" xfId="0" applyFont="1" applyFill="1" applyBorder="1" applyAlignment="1">
      <alignment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3" fillId="4" borderId="1" xfId="0" applyFont="1" applyFill="1" applyBorder="1"/>
    <xf numFmtId="0" fontId="3" fillId="4" borderId="1" xfId="0" applyFont="1" applyFill="1" applyBorder="1" applyAlignment="1">
      <alignment wrapText="1"/>
    </xf>
    <xf numFmtId="0" fontId="9" fillId="0" borderId="0" xfId="0" applyFont="1" applyFill="1" applyBorder="1"/>
    <xf numFmtId="0" fontId="2" fillId="0" borderId="0" xfId="0" applyFont="1" applyFill="1" applyBorder="1"/>
    <xf numFmtId="0" fontId="3" fillId="6" borderId="1" xfId="0" applyFont="1" applyFill="1" applyBorder="1"/>
    <xf numFmtId="4" fontId="4" fillId="6" borderId="1" xfId="0" applyNumberFormat="1" applyFont="1" applyFill="1" applyBorder="1"/>
    <xf numFmtId="0" fontId="9" fillId="0" borderId="0" xfId="0" applyFont="1" applyBorder="1"/>
    <xf numFmtId="0" fontId="10" fillId="0" borderId="1" xfId="0" applyFont="1" applyBorder="1"/>
    <xf numFmtId="0" fontId="9" fillId="0" borderId="1" xfId="0" applyFont="1" applyBorder="1"/>
    <xf numFmtId="4" fontId="2" fillId="0" borderId="1" xfId="0" applyNumberFormat="1" applyFont="1" applyBorder="1"/>
    <xf numFmtId="0" fontId="4" fillId="0" borderId="0" xfId="0" applyFont="1" applyFill="1" applyBorder="1"/>
    <xf numFmtId="0" fontId="4" fillId="7" borderId="1" xfId="0" applyFont="1" applyFill="1" applyBorder="1" applyAlignment="1">
      <alignment wrapText="1"/>
    </xf>
    <xf numFmtId="4" fontId="4" fillId="7" borderId="1" xfId="0" applyNumberFormat="1" applyFont="1" applyFill="1" applyBorder="1"/>
    <xf numFmtId="0" fontId="4" fillId="8" borderId="1" xfId="0" applyFont="1" applyFill="1" applyBorder="1" applyAlignment="1">
      <alignment wrapText="1"/>
    </xf>
    <xf numFmtId="4" fontId="4" fillId="8" borderId="1" xfId="0" applyNumberFormat="1" applyFont="1" applyFill="1" applyBorder="1"/>
    <xf numFmtId="4" fontId="4" fillId="0" borderId="1" xfId="0" applyNumberFormat="1" applyFont="1" applyFill="1" applyBorder="1"/>
    <xf numFmtId="0" fontId="3" fillId="8" borderId="1" xfId="0" applyFont="1" applyFill="1" applyBorder="1"/>
    <xf numFmtId="4" fontId="3" fillId="5" borderId="1" xfId="0" applyNumberFormat="1" applyFont="1" applyFill="1" applyBorder="1"/>
    <xf numFmtId="0" fontId="11" fillId="0" borderId="1" xfId="0" applyFont="1" applyBorder="1" applyAlignment="1">
      <alignment wrapText="1"/>
    </xf>
    <xf numFmtId="0" fontId="5" fillId="0" borderId="0" xfId="0" applyFont="1" applyAlignment="1">
      <alignment horizontal="center"/>
    </xf>
    <xf numFmtId="4" fontId="5" fillId="0" borderId="0" xfId="0" applyNumberFormat="1" applyFont="1"/>
    <xf numFmtId="0" fontId="5" fillId="0" borderId="1" xfId="0" applyFont="1" applyBorder="1" applyAlignment="1">
      <alignment shrinkToFit="1"/>
    </xf>
    <xf numFmtId="4" fontId="12" fillId="0" borderId="0" xfId="0" applyNumberFormat="1" applyFont="1" applyBorder="1"/>
    <xf numFmtId="0" fontId="3" fillId="0" borderId="1" xfId="0" applyFont="1" applyBorder="1" applyAlignment="1">
      <alignment shrinkToFit="1"/>
    </xf>
    <xf numFmtId="0" fontId="15" fillId="0" borderId="0" xfId="0" applyFont="1" applyFill="1" applyBorder="1"/>
    <xf numFmtId="0" fontId="15" fillId="0" borderId="5" xfId="0" applyFont="1" applyFill="1" applyBorder="1"/>
    <xf numFmtId="0" fontId="15" fillId="8" borderId="1" xfId="0" applyFont="1" applyFill="1" applyBorder="1" applyAlignment="1">
      <alignment wrapText="1"/>
    </xf>
    <xf numFmtId="4" fontId="16" fillId="8" borderId="1" xfId="0" applyNumberFormat="1" applyFont="1" applyFill="1" applyBorder="1"/>
    <xf numFmtId="0" fontId="0" fillId="0" borderId="7" xfId="0" applyFill="1" applyBorder="1"/>
    <xf numFmtId="0" fontId="0" fillId="0" borderId="8" xfId="0" applyFill="1" applyBorder="1"/>
    <xf numFmtId="4" fontId="17" fillId="0" borderId="0" xfId="0" applyNumberFormat="1" applyFont="1" applyFill="1"/>
    <xf numFmtId="0" fontId="15" fillId="0" borderId="1" xfId="0" applyFont="1" applyFill="1" applyBorder="1"/>
    <xf numFmtId="0" fontId="15" fillId="0" borderId="1" xfId="0" applyFont="1" applyFill="1" applyBorder="1" applyAlignment="1">
      <alignment wrapText="1"/>
    </xf>
    <xf numFmtId="4" fontId="16" fillId="0" borderId="1" xfId="0" applyNumberFormat="1" applyFont="1" applyFill="1" applyBorder="1"/>
    <xf numFmtId="4" fontId="18" fillId="0" borderId="1" xfId="0" applyNumberFormat="1" applyFont="1" applyFill="1" applyBorder="1"/>
    <xf numFmtId="0" fontId="19" fillId="0" borderId="1" xfId="0" applyFont="1" applyFill="1" applyBorder="1"/>
    <xf numFmtId="0" fontId="2" fillId="0" borderId="1" xfId="0" applyFont="1" applyFill="1" applyBorder="1"/>
    <xf numFmtId="0" fontId="20" fillId="0" borderId="1" xfId="0" applyFont="1" applyFill="1" applyBorder="1"/>
    <xf numFmtId="4" fontId="17" fillId="0" borderId="1" xfId="0" applyNumberFormat="1" applyFont="1" applyFill="1" applyBorder="1"/>
    <xf numFmtId="0" fontId="2" fillId="0" borderId="1" xfId="0" applyFont="1" applyBorder="1" applyAlignment="1">
      <alignment shrinkToFit="1"/>
    </xf>
    <xf numFmtId="4" fontId="3" fillId="0" borderId="1" xfId="0" applyNumberFormat="1" applyFont="1" applyBorder="1"/>
    <xf numFmtId="4" fontId="3" fillId="0" borderId="1" xfId="1" applyNumberFormat="1" applyFont="1" applyBorder="1"/>
    <xf numFmtId="0" fontId="21" fillId="0" borderId="0" xfId="0" applyFont="1"/>
    <xf numFmtId="0" fontId="3" fillId="0" borderId="1" xfId="0" applyFont="1" applyBorder="1" applyAlignment="1">
      <alignment horizontal="center" wrapText="1"/>
    </xf>
    <xf numFmtId="4" fontId="2" fillId="0" borderId="0" xfId="0" applyNumberFormat="1" applyFont="1" applyBorder="1"/>
    <xf numFmtId="0" fontId="3" fillId="8" borderId="1" xfId="0" applyFont="1" applyFill="1" applyBorder="1" applyAlignment="1">
      <alignment shrinkToFit="1"/>
    </xf>
    <xf numFmtId="0" fontId="2" fillId="0" borderId="4" xfId="0" applyFont="1" applyBorder="1"/>
    <xf numFmtId="0" fontId="3" fillId="0" borderId="4" xfId="0" applyFont="1" applyBorder="1" applyAlignment="1">
      <alignment wrapText="1"/>
    </xf>
    <xf numFmtId="0" fontId="3" fillId="8" borderId="1" xfId="0" applyFont="1" applyFill="1" applyBorder="1" applyAlignment="1">
      <alignment wrapText="1"/>
    </xf>
    <xf numFmtId="0" fontId="0" fillId="9" borderId="0" xfId="0" applyFill="1"/>
    <xf numFmtId="0" fontId="3" fillId="10" borderId="1" xfId="0" applyFont="1" applyFill="1" applyBorder="1"/>
    <xf numFmtId="4" fontId="4" fillId="10" borderId="1" xfId="0" applyNumberFormat="1" applyFont="1" applyFill="1" applyBorder="1"/>
    <xf numFmtId="0" fontId="22" fillId="0" borderId="0" xfId="0" applyFont="1"/>
    <xf numFmtId="4" fontId="0" fillId="0" borderId="0" xfId="0" applyNumberFormat="1"/>
    <xf numFmtId="4" fontId="23" fillId="0" borderId="1" xfId="0" applyNumberFormat="1" applyFont="1" applyBorder="1"/>
    <xf numFmtId="4" fontId="23" fillId="8" borderId="1" xfId="0" applyNumberFormat="1" applyFont="1" applyFill="1" applyBorder="1"/>
    <xf numFmtId="0" fontId="2" fillId="0" borderId="4" xfId="0" applyFont="1" applyBorder="1" applyAlignment="1">
      <alignment wrapText="1"/>
    </xf>
    <xf numFmtId="4" fontId="5" fillId="0" borderId="4" xfId="0" applyNumberFormat="1" applyFont="1" applyBorder="1"/>
    <xf numFmtId="4" fontId="23" fillId="0" borderId="4" xfId="0" applyNumberFormat="1" applyFont="1" applyBorder="1"/>
    <xf numFmtId="0" fontId="22" fillId="8" borderId="1" xfId="0" applyFont="1" applyFill="1" applyBorder="1"/>
    <xf numFmtId="0" fontId="22" fillId="0" borderId="1" xfId="0" applyFont="1" applyBorder="1"/>
    <xf numFmtId="0" fontId="5" fillId="0" borderId="9" xfId="0" applyFont="1" applyBorder="1" applyAlignment="1">
      <alignment horizontal="left"/>
    </xf>
    <xf numFmtId="0" fontId="11" fillId="0" borderId="1" xfId="0" applyFont="1" applyFill="1" applyBorder="1"/>
    <xf numFmtId="0" fontId="14" fillId="9" borderId="0" xfId="0" applyFont="1" applyFill="1"/>
    <xf numFmtId="4" fontId="13" fillId="9" borderId="0" xfId="0" applyNumberFormat="1" applyFont="1" applyFill="1"/>
    <xf numFmtId="0" fontId="0" fillId="9" borderId="0" xfId="0" applyFont="1" applyFill="1"/>
    <xf numFmtId="4" fontId="5" fillId="9" borderId="0" xfId="0" applyNumberFormat="1" applyFont="1" applyFill="1"/>
    <xf numFmtId="0" fontId="4" fillId="0" borderId="0" xfId="0" applyFont="1" applyBorder="1" applyAlignment="1">
      <alignment horizontal="left"/>
    </xf>
    <xf numFmtId="0" fontId="24" fillId="0" borderId="0" xfId="0" applyFont="1"/>
    <xf numFmtId="0" fontId="7" fillId="0" borderId="1" xfId="0" applyFont="1" applyBorder="1" applyAlignment="1">
      <alignment wrapText="1"/>
    </xf>
    <xf numFmtId="0" fontId="7" fillId="8" borderId="1" xfId="0" applyFont="1" applyFill="1" applyBorder="1" applyAlignment="1">
      <alignment wrapText="1"/>
    </xf>
    <xf numFmtId="0" fontId="7" fillId="0" borderId="2" xfId="0" applyFont="1" applyBorder="1"/>
    <xf numFmtId="0" fontId="6" fillId="0" borderId="11" xfId="0" applyFont="1" applyBorder="1"/>
    <xf numFmtId="0" fontId="6" fillId="9" borderId="12" xfId="0" applyFont="1" applyFill="1" applyBorder="1"/>
    <xf numFmtId="0" fontId="6" fillId="9" borderId="7" xfId="0" applyFont="1" applyFill="1" applyBorder="1"/>
    <xf numFmtId="0" fontId="2" fillId="9" borderId="8" xfId="0" applyFont="1" applyFill="1" applyBorder="1"/>
    <xf numFmtId="0" fontId="2" fillId="0" borderId="13" xfId="0" applyFont="1" applyBorder="1"/>
    <xf numFmtId="4" fontId="4" fillId="9" borderId="10" xfId="0" applyNumberFormat="1" applyFont="1" applyFill="1" applyBorder="1"/>
    <xf numFmtId="0" fontId="0" fillId="0" borderId="0" xfId="0" applyBorder="1"/>
    <xf numFmtId="4" fontId="4" fillId="9" borderId="6" xfId="0" applyNumberFormat="1" applyFont="1" applyFill="1" applyBorder="1"/>
    <xf numFmtId="0" fontId="3" fillId="0" borderId="11" xfId="0" applyFont="1" applyBorder="1"/>
    <xf numFmtId="0" fontId="2" fillId="0" borderId="8" xfId="0" applyFont="1" applyBorder="1"/>
    <xf numFmtId="0" fontId="3" fillId="0" borderId="14" xfId="0" applyFont="1" applyBorder="1"/>
    <xf numFmtId="0" fontId="2" fillId="0" borderId="12" xfId="0" applyFont="1" applyBorder="1"/>
    <xf numFmtId="0" fontId="3" fillId="0" borderId="13" xfId="0" applyFont="1" applyBorder="1"/>
    <xf numFmtId="0" fontId="2" fillId="0" borderId="7" xfId="0" applyFont="1" applyBorder="1"/>
    <xf numFmtId="4" fontId="5" fillId="0" borderId="10" xfId="0" applyNumberFormat="1" applyFont="1" applyBorder="1"/>
    <xf numFmtId="4" fontId="5" fillId="0" borderId="6" xfId="0" applyNumberFormat="1" applyFont="1" applyBorder="1"/>
    <xf numFmtId="0" fontId="25" fillId="0" borderId="0" xfId="0" applyFont="1"/>
    <xf numFmtId="0" fontId="26" fillId="0" borderId="0" xfId="0" applyFont="1"/>
    <xf numFmtId="0" fontId="26" fillId="0" borderId="1" xfId="0" applyFont="1" applyBorder="1"/>
    <xf numFmtId="49" fontId="26" fillId="0" borderId="1" xfId="0" applyNumberFormat="1" applyFont="1" applyBorder="1"/>
    <xf numFmtId="49" fontId="26" fillId="0" borderId="1" xfId="0" applyNumberFormat="1" applyFont="1" applyBorder="1" applyAlignment="1">
      <alignment wrapText="1"/>
    </xf>
    <xf numFmtId="0" fontId="27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26" fillId="9" borderId="0" xfId="0" applyFont="1" applyFill="1"/>
    <xf numFmtId="0" fontId="2" fillId="9" borderId="0" xfId="0" applyFont="1" applyFill="1"/>
    <xf numFmtId="0" fontId="21" fillId="9" borderId="0" xfId="0" applyFont="1" applyFill="1"/>
    <xf numFmtId="0" fontId="0" fillId="9" borderId="0" xfId="0" applyFont="1" applyFill="1" applyAlignment="1"/>
    <xf numFmtId="49" fontId="5" fillId="0" borderId="1" xfId="0" applyNumberFormat="1" applyFont="1" applyBorder="1" applyAlignment="1" applyProtection="1">
      <alignment horizontal="center"/>
      <protection locked="0"/>
    </xf>
    <xf numFmtId="0" fontId="2" fillId="0" borderId="0" xfId="1" applyFont="1" applyBorder="1" applyAlignment="1">
      <alignment horizontal="left" wrapText="1"/>
    </xf>
    <xf numFmtId="0" fontId="2" fillId="9" borderId="0" xfId="1" applyFont="1" applyFill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9" borderId="0" xfId="0" applyFont="1" applyFill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/>
    </xf>
    <xf numFmtId="0" fontId="0" fillId="0" borderId="0" xfId="0" applyFont="1" applyAlignment="1">
      <alignment horizontal="center"/>
    </xf>
    <xf numFmtId="0" fontId="26" fillId="0" borderId="2" xfId="0" applyFont="1" applyBorder="1" applyAlignment="1">
      <alignment horizontal="center" vertical="center" textRotation="90" shrinkToFit="1"/>
    </xf>
    <xf numFmtId="0" fontId="26" fillId="0" borderId="3" xfId="0" applyFont="1" applyBorder="1" applyAlignment="1">
      <alignment horizontal="center" vertical="center" textRotation="90" shrinkToFit="1"/>
    </xf>
    <xf numFmtId="0" fontId="26" fillId="0" borderId="4" xfId="0" applyFont="1" applyBorder="1" applyAlignment="1">
      <alignment horizontal="center" vertical="center" textRotation="90" shrinkToFit="1"/>
    </xf>
    <xf numFmtId="0" fontId="26" fillId="0" borderId="1" xfId="0" applyFont="1" applyBorder="1" applyAlignment="1">
      <alignment horizontal="center" vertical="center" textRotation="90" wrapText="1"/>
    </xf>
    <xf numFmtId="0" fontId="26" fillId="0" borderId="1" xfId="0" applyFont="1" applyBorder="1" applyAlignment="1">
      <alignment horizontal="center" vertical="center" textRotation="90" shrinkToFit="1"/>
    </xf>
    <xf numFmtId="0" fontId="18" fillId="0" borderId="1" xfId="0" applyFont="1" applyBorder="1" applyAlignment="1">
      <alignment horizontal="left"/>
    </xf>
    <xf numFmtId="0" fontId="2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0"/>
  <sheetViews>
    <sheetView tabSelected="1" topLeftCell="A457" workbookViewId="0">
      <selection activeCell="K23" sqref="K23"/>
    </sheetView>
  </sheetViews>
  <sheetFormatPr defaultRowHeight="15" x14ac:dyDescent="0.25"/>
  <cols>
    <col min="1" max="1" width="4.7109375" style="149" customWidth="1"/>
    <col min="2" max="2" width="3.28515625" style="2" customWidth="1"/>
    <col min="3" max="3" width="3.7109375" style="2" customWidth="1"/>
    <col min="4" max="4" width="5.28515625" style="2" customWidth="1"/>
    <col min="5" max="5" width="37.140625" style="2" customWidth="1"/>
    <col min="6" max="6" width="14" style="2" customWidth="1"/>
    <col min="7" max="7" width="13.5703125" style="2" customWidth="1"/>
    <col min="8" max="8" width="15.140625" style="2" customWidth="1"/>
    <col min="11" max="11" width="11.7109375" bestFit="1" customWidth="1"/>
  </cols>
  <sheetData>
    <row r="1" spans="1:11" s="109" customFormat="1" ht="41.25" customHeight="1" x14ac:dyDescent="0.25">
      <c r="A1" s="159"/>
      <c r="B1" s="165" t="s">
        <v>215</v>
      </c>
      <c r="C1" s="165"/>
      <c r="D1" s="165"/>
      <c r="E1" s="165"/>
      <c r="F1" s="165"/>
      <c r="G1" s="165"/>
      <c r="H1" s="165"/>
    </row>
    <row r="2" spans="1:11" x14ac:dyDescent="0.25">
      <c r="B2"/>
      <c r="C2"/>
      <c r="D2"/>
      <c r="E2"/>
      <c r="F2"/>
      <c r="G2"/>
      <c r="H2"/>
    </row>
    <row r="3" spans="1:11" x14ac:dyDescent="0.25">
      <c r="B3" s="166" t="s">
        <v>200</v>
      </c>
      <c r="C3" s="166"/>
      <c r="D3" s="166"/>
      <c r="E3" s="166"/>
      <c r="F3" s="166"/>
      <c r="G3" s="166"/>
      <c r="H3" s="166"/>
    </row>
    <row r="4" spans="1:11" x14ac:dyDescent="0.25">
      <c r="B4" s="166" t="s">
        <v>152</v>
      </c>
      <c r="C4" s="166"/>
      <c r="D4" s="166"/>
      <c r="E4" s="166"/>
      <c r="F4" s="166"/>
      <c r="G4" s="166"/>
      <c r="H4" s="166"/>
    </row>
    <row r="5" spans="1:11" x14ac:dyDescent="0.25">
      <c r="B5" s="1"/>
      <c r="C5" s="1"/>
      <c r="D5" s="1"/>
      <c r="E5" s="1"/>
      <c r="F5" s="1"/>
      <c r="G5"/>
      <c r="H5"/>
    </row>
    <row r="6" spans="1:11" x14ac:dyDescent="0.25">
      <c r="B6" s="167" t="s">
        <v>81</v>
      </c>
      <c r="C6" s="167"/>
      <c r="D6" s="167"/>
      <c r="E6" s="167"/>
      <c r="F6" s="167"/>
      <c r="G6" s="167"/>
      <c r="H6" s="167"/>
    </row>
    <row r="8" spans="1:11" x14ac:dyDescent="0.25">
      <c r="B8" s="168" t="s">
        <v>82</v>
      </c>
      <c r="C8" s="168"/>
      <c r="D8" s="168"/>
      <c r="E8" s="168"/>
      <c r="F8" s="168"/>
      <c r="G8" s="168"/>
      <c r="H8" s="168"/>
    </row>
    <row r="10" spans="1:11" ht="28.5" customHeight="1" x14ac:dyDescent="0.25">
      <c r="B10" s="164" t="s">
        <v>153</v>
      </c>
      <c r="C10" s="164"/>
      <c r="D10" s="164"/>
      <c r="E10" s="164"/>
      <c r="F10" s="164"/>
      <c r="G10" s="164"/>
      <c r="H10" s="164"/>
    </row>
    <row r="11" spans="1:11" x14ac:dyDescent="0.25">
      <c r="B11"/>
      <c r="C11"/>
      <c r="D11"/>
      <c r="E11"/>
      <c r="F11"/>
      <c r="G11"/>
      <c r="H11"/>
    </row>
    <row r="12" spans="1:11" x14ac:dyDescent="0.25">
      <c r="B12" s="3" t="s">
        <v>216</v>
      </c>
      <c r="C12"/>
      <c r="D12"/>
      <c r="E12"/>
      <c r="F12"/>
      <c r="G12"/>
      <c r="H12"/>
    </row>
    <row r="13" spans="1:11" ht="43.5" customHeight="1" x14ac:dyDescent="0.25">
      <c r="A13" s="189"/>
      <c r="B13" s="189"/>
      <c r="C13" s="189"/>
      <c r="D13" s="189"/>
      <c r="E13" s="189"/>
      <c r="F13" s="154" t="s">
        <v>156</v>
      </c>
      <c r="G13" s="4" t="s">
        <v>137</v>
      </c>
      <c r="H13" s="4" t="s">
        <v>157</v>
      </c>
    </row>
    <row r="14" spans="1:11" x14ac:dyDescent="0.25">
      <c r="A14" s="169" t="s">
        <v>206</v>
      </c>
      <c r="B14" s="169"/>
      <c r="C14" s="169"/>
      <c r="D14" s="169"/>
      <c r="E14" s="169"/>
      <c r="F14" s="101">
        <f>F36</f>
        <v>4942894.59</v>
      </c>
      <c r="G14" s="101">
        <f>G36</f>
        <v>4043388</v>
      </c>
      <c r="H14" s="101">
        <f>H36</f>
        <v>4029823.2</v>
      </c>
    </row>
    <row r="15" spans="1:11" x14ac:dyDescent="0.25">
      <c r="A15" s="169" t="s">
        <v>207</v>
      </c>
      <c r="B15" s="169"/>
      <c r="C15" s="169"/>
      <c r="D15" s="169"/>
      <c r="E15" s="169"/>
      <c r="F15" s="101">
        <f>F64</f>
        <v>3089056.59</v>
      </c>
      <c r="G15" s="101">
        <f>G64</f>
        <v>2739388</v>
      </c>
      <c r="H15" s="101">
        <f>H64</f>
        <v>2700823.2</v>
      </c>
      <c r="K15" s="113"/>
    </row>
    <row r="16" spans="1:11" x14ac:dyDescent="0.25">
      <c r="A16" s="169" t="s">
        <v>208</v>
      </c>
      <c r="B16" s="169"/>
      <c r="C16" s="169"/>
      <c r="D16" s="169"/>
      <c r="E16" s="169"/>
      <c r="F16" s="101">
        <f>F94</f>
        <v>1554838</v>
      </c>
      <c r="G16" s="101">
        <f>G94</f>
        <v>1005000</v>
      </c>
      <c r="H16" s="101">
        <f>H94</f>
        <v>1030000</v>
      </c>
      <c r="K16" s="113"/>
    </row>
    <row r="17" spans="1:8" x14ac:dyDescent="0.25">
      <c r="A17" s="169" t="s">
        <v>205</v>
      </c>
      <c r="B17" s="169"/>
      <c r="C17" s="169"/>
      <c r="D17" s="169"/>
      <c r="E17" s="169"/>
      <c r="F17" s="101">
        <f>F14-F15-F16</f>
        <v>299000</v>
      </c>
      <c r="G17" s="101">
        <f>G14-G15-G16</f>
        <v>299000</v>
      </c>
      <c r="H17" s="101">
        <f>H14-H15-H16</f>
        <v>299000</v>
      </c>
    </row>
    <row r="18" spans="1:8" x14ac:dyDescent="0.25">
      <c r="F18" s="102"/>
      <c r="G18" s="102"/>
      <c r="H18" s="102"/>
    </row>
    <row r="19" spans="1:8" x14ac:dyDescent="0.25">
      <c r="B19" s="167" t="s">
        <v>109</v>
      </c>
      <c r="C19" s="167"/>
      <c r="D19" s="167"/>
      <c r="E19" s="167"/>
      <c r="F19" s="5"/>
      <c r="G19" s="102"/>
      <c r="H19" s="102"/>
    </row>
    <row r="20" spans="1:8" ht="43.5" customHeight="1" x14ac:dyDescent="0.25">
      <c r="A20" s="189"/>
      <c r="B20" s="189"/>
      <c r="C20" s="189"/>
      <c r="D20" s="189"/>
      <c r="E20" s="189"/>
      <c r="F20" s="155" t="s">
        <v>156</v>
      </c>
      <c r="G20" s="103" t="s">
        <v>137</v>
      </c>
      <c r="H20" s="103" t="s">
        <v>157</v>
      </c>
    </row>
    <row r="21" spans="1:8" ht="15" customHeight="1" x14ac:dyDescent="0.25">
      <c r="A21" s="188" t="s">
        <v>209</v>
      </c>
      <c r="B21" s="188"/>
      <c r="C21" s="188"/>
      <c r="D21" s="188"/>
      <c r="E21" s="188"/>
      <c r="F21" s="101">
        <f>F111</f>
        <v>1000</v>
      </c>
      <c r="G21" s="101">
        <f>G111</f>
        <v>1000</v>
      </c>
      <c r="H21" s="101">
        <f>H111</f>
        <v>1000</v>
      </c>
    </row>
    <row r="22" spans="1:8" x14ac:dyDescent="0.25">
      <c r="A22" s="188" t="s">
        <v>210</v>
      </c>
      <c r="B22" s="188"/>
      <c r="C22" s="188"/>
      <c r="D22" s="188"/>
      <c r="E22" s="188"/>
      <c r="F22" s="101">
        <f>F122</f>
        <v>300000</v>
      </c>
      <c r="G22" s="101">
        <f>G122</f>
        <v>300000</v>
      </c>
      <c r="H22" s="101">
        <f>H122</f>
        <v>300000</v>
      </c>
    </row>
    <row r="23" spans="1:8" x14ac:dyDescent="0.25">
      <c r="A23" s="188" t="s">
        <v>84</v>
      </c>
      <c r="B23" s="188"/>
      <c r="C23" s="188"/>
      <c r="D23" s="188"/>
      <c r="E23" s="188"/>
      <c r="F23" s="101">
        <f>F21-F22</f>
        <v>-299000</v>
      </c>
      <c r="G23" s="101">
        <f>G21-G22</f>
        <v>-299000</v>
      </c>
      <c r="H23" s="101">
        <f>H21-H22</f>
        <v>-299000</v>
      </c>
    </row>
    <row r="25" spans="1:8" x14ac:dyDescent="0.25">
      <c r="B25" s="168" t="s">
        <v>85</v>
      </c>
      <c r="C25" s="168"/>
      <c r="D25" s="168"/>
      <c r="E25" s="168"/>
      <c r="F25" s="168"/>
      <c r="G25" s="168"/>
      <c r="H25" s="168"/>
    </row>
    <row r="27" spans="1:8" ht="29.25" customHeight="1" x14ac:dyDescent="0.25">
      <c r="B27" s="164" t="s">
        <v>217</v>
      </c>
      <c r="C27" s="164"/>
      <c r="D27" s="164"/>
      <c r="E27" s="164"/>
      <c r="F27" s="164"/>
      <c r="G27" s="164"/>
      <c r="H27" s="164"/>
    </row>
    <row r="28" spans="1:8" x14ac:dyDescent="0.25">
      <c r="B28"/>
      <c r="C28"/>
      <c r="D28"/>
      <c r="E28"/>
      <c r="F28"/>
      <c r="G28"/>
      <c r="H28"/>
    </row>
    <row r="29" spans="1:8" x14ac:dyDescent="0.25">
      <c r="B29" s="167" t="s">
        <v>86</v>
      </c>
      <c r="C29" s="167"/>
      <c r="D29" s="167"/>
      <c r="E29" s="167"/>
      <c r="F29" s="6"/>
      <c r="G29"/>
      <c r="H29"/>
    </row>
    <row r="31" spans="1:8" ht="15" customHeight="1" x14ac:dyDescent="0.25">
      <c r="A31" s="183" t="s">
        <v>201</v>
      </c>
      <c r="B31" s="170" t="s">
        <v>0</v>
      </c>
      <c r="C31" s="170"/>
      <c r="D31" s="170"/>
      <c r="E31" s="170"/>
      <c r="F31" s="171" t="s">
        <v>156</v>
      </c>
      <c r="G31" s="174" t="s">
        <v>137</v>
      </c>
      <c r="H31" s="174" t="s">
        <v>157</v>
      </c>
    </row>
    <row r="32" spans="1:8" x14ac:dyDescent="0.25">
      <c r="A32" s="184"/>
      <c r="B32" s="7"/>
      <c r="C32" s="170" t="s">
        <v>87</v>
      </c>
      <c r="D32" s="170"/>
      <c r="E32" s="170"/>
      <c r="F32" s="172"/>
      <c r="G32" s="175"/>
      <c r="H32" s="175"/>
    </row>
    <row r="33" spans="1:8" x14ac:dyDescent="0.25">
      <c r="A33" s="184"/>
      <c r="B33" s="7"/>
      <c r="C33" s="7"/>
      <c r="D33" s="170" t="s">
        <v>88</v>
      </c>
      <c r="E33" s="170"/>
      <c r="F33" s="172"/>
      <c r="G33" s="175"/>
      <c r="H33" s="175"/>
    </row>
    <row r="34" spans="1:8" x14ac:dyDescent="0.25">
      <c r="A34" s="184"/>
      <c r="B34" s="7"/>
      <c r="C34" s="7"/>
      <c r="D34" s="7"/>
      <c r="E34" s="8" t="s">
        <v>89</v>
      </c>
      <c r="F34" s="173"/>
      <c r="G34" s="176"/>
      <c r="H34" s="176"/>
    </row>
    <row r="35" spans="1:8" x14ac:dyDescent="0.25">
      <c r="A35" s="184"/>
      <c r="B35" s="8">
        <v>1</v>
      </c>
      <c r="C35" s="8">
        <v>2</v>
      </c>
      <c r="D35" s="8">
        <v>3</v>
      </c>
      <c r="E35" s="8">
        <v>4</v>
      </c>
      <c r="F35" s="8">
        <v>5</v>
      </c>
      <c r="G35" s="8">
        <v>6</v>
      </c>
      <c r="H35" s="8">
        <v>7</v>
      </c>
    </row>
    <row r="36" spans="1:8" x14ac:dyDescent="0.25">
      <c r="A36" s="185"/>
      <c r="B36" s="9">
        <v>6</v>
      </c>
      <c r="C36" s="9"/>
      <c r="D36" s="9"/>
      <c r="E36" s="9" t="s">
        <v>90</v>
      </c>
      <c r="F36" s="100">
        <f>F37+F41+F46+F49+F53</f>
        <v>4942894.59</v>
      </c>
      <c r="G36" s="100">
        <f>G37+G41+G46+G49</f>
        <v>4043388</v>
      </c>
      <c r="H36" s="100">
        <f>H37+H41+H46+H49</f>
        <v>4029823.2</v>
      </c>
    </row>
    <row r="37" spans="1:8" x14ac:dyDescent="0.25">
      <c r="A37" s="150"/>
      <c r="B37" s="9"/>
      <c r="C37" s="9">
        <v>61</v>
      </c>
      <c r="D37" s="9"/>
      <c r="E37" s="9" t="s">
        <v>91</v>
      </c>
      <c r="F37" s="100">
        <f>F38+F39+F40</f>
        <v>2274200</v>
      </c>
      <c r="G37" s="100">
        <f>2200000</f>
        <v>2200000</v>
      </c>
      <c r="H37" s="100">
        <v>2200000</v>
      </c>
    </row>
    <row r="38" spans="1:8" x14ac:dyDescent="0.25">
      <c r="A38" s="151" t="s">
        <v>171</v>
      </c>
      <c r="B38" s="11"/>
      <c r="C38" s="11"/>
      <c r="D38" s="11">
        <v>611</v>
      </c>
      <c r="E38" s="14" t="s">
        <v>199</v>
      </c>
      <c r="F38" s="69">
        <f>240000+1800000+4000+170000</f>
        <v>2214000</v>
      </c>
      <c r="G38" s="69"/>
      <c r="H38" s="69"/>
    </row>
    <row r="39" spans="1:8" x14ac:dyDescent="0.25">
      <c r="A39" s="151" t="s">
        <v>171</v>
      </c>
      <c r="B39" s="11"/>
      <c r="C39" s="11"/>
      <c r="D39" s="11">
        <v>613</v>
      </c>
      <c r="E39" s="11" t="s">
        <v>92</v>
      </c>
      <c r="F39" s="69">
        <f>40000+12000</f>
        <v>52000</v>
      </c>
      <c r="G39" s="69"/>
      <c r="H39" s="69"/>
    </row>
    <row r="40" spans="1:8" x14ac:dyDescent="0.25">
      <c r="A40" s="151" t="s">
        <v>171</v>
      </c>
      <c r="B40" s="11"/>
      <c r="C40" s="11"/>
      <c r="D40" s="11">
        <v>614</v>
      </c>
      <c r="E40" s="11" t="s">
        <v>93</v>
      </c>
      <c r="F40" s="69">
        <f>7000+1200</f>
        <v>8200</v>
      </c>
      <c r="G40" s="69"/>
      <c r="H40" s="69"/>
    </row>
    <row r="41" spans="1:8" ht="26.25" x14ac:dyDescent="0.25">
      <c r="A41" s="151"/>
      <c r="B41" s="9"/>
      <c r="C41" s="9">
        <v>63</v>
      </c>
      <c r="D41" s="9"/>
      <c r="E41" s="13" t="s">
        <v>94</v>
      </c>
      <c r="F41" s="100">
        <f>F42+F44+F45+F43</f>
        <v>1263061.01</v>
      </c>
      <c r="G41" s="100">
        <f>82682+10706+500000</f>
        <v>593388</v>
      </c>
      <c r="H41" s="100">
        <f>500000+40000+82682+2141.2</f>
        <v>624823.19999999995</v>
      </c>
    </row>
    <row r="42" spans="1:8" x14ac:dyDescent="0.25">
      <c r="A42" s="151" t="s">
        <v>179</v>
      </c>
      <c r="B42" s="11"/>
      <c r="C42" s="11"/>
      <c r="D42" s="11">
        <v>633</v>
      </c>
      <c r="E42" s="11" t="s">
        <v>95</v>
      </c>
      <c r="F42" s="69">
        <f>10450+116223.01+140000+49000+550000+10706+200000+24000+40000</f>
        <v>1140379.01</v>
      </c>
      <c r="G42" s="69"/>
      <c r="H42" s="69"/>
    </row>
    <row r="43" spans="1:8" x14ac:dyDescent="0.25">
      <c r="A43" s="151" t="s">
        <v>179</v>
      </c>
      <c r="B43" s="11"/>
      <c r="C43" s="11"/>
      <c r="D43" s="11">
        <v>634</v>
      </c>
      <c r="E43" s="81" t="s">
        <v>96</v>
      </c>
      <c r="F43" s="69">
        <f>7315+75367</f>
        <v>82682</v>
      </c>
      <c r="G43" s="69"/>
      <c r="H43" s="69"/>
    </row>
    <row r="44" spans="1:8" ht="26.25" x14ac:dyDescent="0.25">
      <c r="A44" s="151" t="s">
        <v>179</v>
      </c>
      <c r="B44" s="11"/>
      <c r="C44" s="11"/>
      <c r="D44" s="11">
        <v>635</v>
      </c>
      <c r="E44" s="14" t="s">
        <v>97</v>
      </c>
      <c r="F44" s="69">
        <v>40000</v>
      </c>
      <c r="G44" s="69"/>
      <c r="H44" s="69"/>
    </row>
    <row r="45" spans="1:8" ht="26.25" x14ac:dyDescent="0.25">
      <c r="A45" s="151"/>
      <c r="B45" s="11"/>
      <c r="C45" s="11"/>
      <c r="D45" s="11">
        <v>638</v>
      </c>
      <c r="E45" s="14" t="s">
        <v>98</v>
      </c>
      <c r="F45" s="69"/>
      <c r="G45" s="69"/>
      <c r="H45" s="69"/>
    </row>
    <row r="46" spans="1:8" x14ac:dyDescent="0.25">
      <c r="A46" s="151"/>
      <c r="B46" s="9"/>
      <c r="C46" s="9">
        <v>64</v>
      </c>
      <c r="D46" s="9"/>
      <c r="E46" s="9" t="s">
        <v>99</v>
      </c>
      <c r="F46" s="100">
        <f>F47+F48</f>
        <v>1144133.58</v>
      </c>
      <c r="G46" s="100">
        <f>1000000</f>
        <v>1000000</v>
      </c>
      <c r="H46" s="100">
        <v>950000</v>
      </c>
    </row>
    <row r="47" spans="1:8" x14ac:dyDescent="0.25">
      <c r="A47" s="151" t="s">
        <v>171</v>
      </c>
      <c r="B47" s="11"/>
      <c r="C47" s="11"/>
      <c r="D47" s="11">
        <v>642</v>
      </c>
      <c r="E47" s="11" t="s">
        <v>100</v>
      </c>
      <c r="F47" s="69">
        <f>6000+100+6000+6500+1077081.8+100+5000+123+27728.78+15000</f>
        <v>1143633.58</v>
      </c>
      <c r="G47" s="69"/>
      <c r="H47" s="69"/>
    </row>
    <row r="48" spans="1:8" x14ac:dyDescent="0.25">
      <c r="A48" s="151" t="s">
        <v>171</v>
      </c>
      <c r="B48" s="11"/>
      <c r="C48" s="11"/>
      <c r="D48" s="11">
        <v>643</v>
      </c>
      <c r="E48" s="11" t="s">
        <v>101</v>
      </c>
      <c r="F48" s="69">
        <v>500</v>
      </c>
      <c r="G48" s="69"/>
      <c r="H48" s="69"/>
    </row>
    <row r="49" spans="1:8" ht="39" x14ac:dyDescent="0.25">
      <c r="A49" s="151"/>
      <c r="B49" s="9"/>
      <c r="C49" s="9">
        <v>65</v>
      </c>
      <c r="D49" s="9"/>
      <c r="E49" s="15" t="s">
        <v>102</v>
      </c>
      <c r="F49" s="100">
        <f>F50+F51+F52</f>
        <v>259500</v>
      </c>
      <c r="G49" s="100">
        <f>80000+170000</f>
        <v>250000</v>
      </c>
      <c r="H49" s="100">
        <f>85000+170000</f>
        <v>255000</v>
      </c>
    </row>
    <row r="50" spans="1:8" x14ac:dyDescent="0.25">
      <c r="A50" s="151" t="s">
        <v>171</v>
      </c>
      <c r="B50" s="11"/>
      <c r="C50" s="11"/>
      <c r="D50" s="11">
        <v>651</v>
      </c>
      <c r="E50" s="11" t="s">
        <v>103</v>
      </c>
      <c r="F50" s="69">
        <v>500</v>
      </c>
      <c r="G50" s="69"/>
      <c r="H50" s="69"/>
    </row>
    <row r="51" spans="1:8" x14ac:dyDescent="0.25">
      <c r="A51" s="151" t="s">
        <v>202</v>
      </c>
      <c r="B51" s="11"/>
      <c r="C51" s="11"/>
      <c r="D51" s="11">
        <v>652</v>
      </c>
      <c r="E51" s="11" t="s">
        <v>104</v>
      </c>
      <c r="F51" s="69">
        <f>6000+30000+51000</f>
        <v>87000</v>
      </c>
      <c r="G51" s="69"/>
      <c r="H51" s="69"/>
    </row>
    <row r="52" spans="1:8" x14ac:dyDescent="0.25">
      <c r="A52" s="151" t="s">
        <v>177</v>
      </c>
      <c r="B52" s="11"/>
      <c r="C52" s="11"/>
      <c r="D52" s="11">
        <v>653</v>
      </c>
      <c r="E52" s="11" t="s">
        <v>105</v>
      </c>
      <c r="F52" s="69">
        <f>2000+170000</f>
        <v>172000</v>
      </c>
      <c r="G52" s="69"/>
      <c r="H52" s="69"/>
    </row>
    <row r="53" spans="1:8" x14ac:dyDescent="0.25">
      <c r="A53" s="151"/>
      <c r="B53" s="11"/>
      <c r="C53" s="9">
        <v>68</v>
      </c>
      <c r="D53" s="11"/>
      <c r="E53" s="9" t="s">
        <v>158</v>
      </c>
      <c r="F53" s="100">
        <f>F54</f>
        <v>2000</v>
      </c>
      <c r="G53" s="69"/>
      <c r="H53" s="69"/>
    </row>
    <row r="54" spans="1:8" x14ac:dyDescent="0.25">
      <c r="A54" s="151" t="s">
        <v>171</v>
      </c>
      <c r="B54" s="11"/>
      <c r="C54" s="11"/>
      <c r="D54" s="11">
        <v>683</v>
      </c>
      <c r="E54" s="11" t="s">
        <v>159</v>
      </c>
      <c r="F54" s="69">
        <v>2000</v>
      </c>
      <c r="G54" s="69"/>
      <c r="H54" s="69"/>
    </row>
    <row r="55" spans="1:8" x14ac:dyDescent="0.25">
      <c r="B55" s="16"/>
      <c r="C55" s="16"/>
      <c r="D55" s="16"/>
      <c r="E55" s="16"/>
      <c r="F55" s="104"/>
      <c r="G55" s="104"/>
      <c r="H55" s="104"/>
    </row>
    <row r="57" spans="1:8" x14ac:dyDescent="0.25">
      <c r="B57" s="167" t="s">
        <v>6</v>
      </c>
      <c r="C57" s="167"/>
      <c r="D57" s="167"/>
      <c r="E57" s="167"/>
      <c r="F57" s="6"/>
      <c r="G57"/>
      <c r="H57"/>
    </row>
    <row r="59" spans="1:8" x14ac:dyDescent="0.25">
      <c r="A59" s="186" t="s">
        <v>201</v>
      </c>
      <c r="B59" s="170" t="s">
        <v>0</v>
      </c>
      <c r="C59" s="170"/>
      <c r="D59" s="170"/>
      <c r="E59" s="170"/>
      <c r="F59" s="171" t="s">
        <v>156</v>
      </c>
      <c r="G59" s="174" t="s">
        <v>137</v>
      </c>
      <c r="H59" s="174" t="s">
        <v>157</v>
      </c>
    </row>
    <row r="60" spans="1:8" x14ac:dyDescent="0.25">
      <c r="A60" s="186"/>
      <c r="B60" s="7"/>
      <c r="C60" s="170" t="s">
        <v>87</v>
      </c>
      <c r="D60" s="170"/>
      <c r="E60" s="170"/>
      <c r="F60" s="172"/>
      <c r="G60" s="175"/>
      <c r="H60" s="175"/>
    </row>
    <row r="61" spans="1:8" x14ac:dyDescent="0.25">
      <c r="A61" s="186"/>
      <c r="B61" s="7"/>
      <c r="C61" s="7"/>
      <c r="D61" s="170" t="s">
        <v>88</v>
      </c>
      <c r="E61" s="170"/>
      <c r="F61" s="172"/>
      <c r="G61" s="175"/>
      <c r="H61" s="175"/>
    </row>
    <row r="62" spans="1:8" x14ac:dyDescent="0.25">
      <c r="A62" s="186"/>
      <c r="B62" s="7"/>
      <c r="C62" s="7"/>
      <c r="D62" s="7"/>
      <c r="E62" s="8" t="s">
        <v>89</v>
      </c>
      <c r="F62" s="173"/>
      <c r="G62" s="176"/>
      <c r="H62" s="176"/>
    </row>
    <row r="63" spans="1:8" x14ac:dyDescent="0.25">
      <c r="A63" s="186"/>
      <c r="B63" s="8">
        <v>1</v>
      </c>
      <c r="C63" s="8">
        <v>2</v>
      </c>
      <c r="D63" s="8">
        <v>3</v>
      </c>
      <c r="E63" s="8">
        <v>4</v>
      </c>
      <c r="F63" s="8">
        <v>5</v>
      </c>
      <c r="G63" s="8">
        <v>6</v>
      </c>
      <c r="H63" s="8">
        <v>7</v>
      </c>
    </row>
    <row r="64" spans="1:8" x14ac:dyDescent="0.25">
      <c r="A64" s="151"/>
      <c r="B64" s="9">
        <v>3</v>
      </c>
      <c r="C64" s="9"/>
      <c r="D64" s="9"/>
      <c r="E64" s="9" t="s">
        <v>49</v>
      </c>
      <c r="F64" s="10">
        <f>F65+F69+F75+F78+F80+F82+F84</f>
        <v>3089056.59</v>
      </c>
      <c r="G64" s="10">
        <f t="shared" ref="G64:H64" si="0">G65+G69+G75+G78+G80+G82+G84</f>
        <v>2739388</v>
      </c>
      <c r="H64" s="10">
        <f t="shared" si="0"/>
        <v>2700823.2</v>
      </c>
    </row>
    <row r="65" spans="1:8" x14ac:dyDescent="0.25">
      <c r="A65" s="151"/>
      <c r="B65" s="9"/>
      <c r="C65" s="9">
        <v>31</v>
      </c>
      <c r="D65" s="9"/>
      <c r="E65" s="9" t="s">
        <v>7</v>
      </c>
      <c r="F65" s="10">
        <f>F66+F67+F68</f>
        <v>1147048.27</v>
      </c>
      <c r="G65" s="10">
        <v>1172048.27</v>
      </c>
      <c r="H65" s="10">
        <v>1172048.27</v>
      </c>
    </row>
    <row r="66" spans="1:8" x14ac:dyDescent="0.25">
      <c r="A66" s="151" t="s">
        <v>203</v>
      </c>
      <c r="B66" s="11"/>
      <c r="C66" s="11"/>
      <c r="D66" s="11">
        <v>311</v>
      </c>
      <c r="E66" s="11" t="s">
        <v>106</v>
      </c>
      <c r="F66" s="69">
        <f>109643.84+192800+61917+521000+82555.2-20000-5000</f>
        <v>942916.03999999992</v>
      </c>
      <c r="G66" s="69"/>
      <c r="H66" s="69"/>
    </row>
    <row r="67" spans="1:8" x14ac:dyDescent="0.25">
      <c r="A67" s="151" t="s">
        <v>171</v>
      </c>
      <c r="B67" s="11"/>
      <c r="C67" s="11"/>
      <c r="D67" s="11">
        <v>312</v>
      </c>
      <c r="E67" s="11" t="s">
        <v>9</v>
      </c>
      <c r="F67" s="69">
        <f>14150+23500</f>
        <v>37650</v>
      </c>
      <c r="G67" s="69"/>
      <c r="H67" s="69"/>
    </row>
    <row r="68" spans="1:8" x14ac:dyDescent="0.25">
      <c r="A68" s="151" t="s">
        <v>203</v>
      </c>
      <c r="B68" s="11"/>
      <c r="C68" s="11"/>
      <c r="D68" s="11">
        <v>313</v>
      </c>
      <c r="E68" s="11" t="s">
        <v>10</v>
      </c>
      <c r="F68" s="69">
        <f>18858.74+33162+10650+89612+14199.49</f>
        <v>166482.22999999998</v>
      </c>
      <c r="G68" s="69"/>
      <c r="H68" s="69"/>
    </row>
    <row r="69" spans="1:8" x14ac:dyDescent="0.25">
      <c r="A69" s="151"/>
      <c r="B69" s="9"/>
      <c r="C69" s="9">
        <v>32</v>
      </c>
      <c r="D69" s="9"/>
      <c r="E69" s="9" t="s">
        <v>11</v>
      </c>
      <c r="F69" s="100">
        <f>F70+F71+F72+F73+F74</f>
        <v>1205476.32</v>
      </c>
      <c r="G69" s="100">
        <f>880388-48.27</f>
        <v>880339.73</v>
      </c>
      <c r="H69" s="100">
        <f>839823.2-48.27</f>
        <v>839774.92999999993</v>
      </c>
    </row>
    <row r="70" spans="1:8" x14ac:dyDescent="0.25">
      <c r="A70" s="151" t="s">
        <v>203</v>
      </c>
      <c r="B70" s="11"/>
      <c r="C70" s="11"/>
      <c r="D70" s="11">
        <v>321</v>
      </c>
      <c r="E70" s="11" t="s">
        <v>12</v>
      </c>
      <c r="F70" s="69">
        <f>25314+27317+2800+14668.32</f>
        <v>70099.320000000007</v>
      </c>
      <c r="G70" s="69"/>
      <c r="H70" s="69"/>
    </row>
    <row r="71" spans="1:8" x14ac:dyDescent="0.25">
      <c r="A71" s="151" t="s">
        <v>202</v>
      </c>
      <c r="B71" s="11"/>
      <c r="C71" s="11"/>
      <c r="D71" s="11">
        <v>322</v>
      </c>
      <c r="E71" s="11" t="s">
        <v>22</v>
      </c>
      <c r="F71" s="69">
        <f>67000+1700+1700+36000+6000+6500+100000+20000+4800+5000</f>
        <v>248700</v>
      </c>
      <c r="G71" s="69"/>
      <c r="H71" s="69"/>
    </row>
    <row r="72" spans="1:8" ht="23.25" customHeight="1" x14ac:dyDescent="0.25">
      <c r="A72" s="152" t="s">
        <v>204</v>
      </c>
      <c r="B72" s="11"/>
      <c r="C72" s="11"/>
      <c r="D72" s="11">
        <v>323</v>
      </c>
      <c r="E72" s="11" t="s">
        <v>13</v>
      </c>
      <c r="F72" s="69">
        <f>10000+157470+30000+8500+20000+7000+150000+96000+10856+5000+70000+40000+95079+25000+50000+7000+20000+60000+1700+15000-6600-10000-2500-10400-15000-10000+5000</f>
        <v>829105</v>
      </c>
      <c r="G72" s="69"/>
      <c r="H72" s="69"/>
    </row>
    <row r="73" spans="1:8" x14ac:dyDescent="0.25">
      <c r="A73" s="151" t="s">
        <v>179</v>
      </c>
      <c r="B73" s="11"/>
      <c r="C73" s="11"/>
      <c r="D73" s="11">
        <v>324</v>
      </c>
      <c r="E73" s="11" t="s">
        <v>107</v>
      </c>
      <c r="F73" s="69">
        <f>9144</f>
        <v>9144</v>
      </c>
      <c r="G73" s="69"/>
      <c r="H73" s="69"/>
    </row>
    <row r="74" spans="1:8" x14ac:dyDescent="0.25">
      <c r="A74" s="151" t="s">
        <v>171</v>
      </c>
      <c r="B74" s="11"/>
      <c r="C74" s="11"/>
      <c r="D74" s="11">
        <v>329</v>
      </c>
      <c r="E74" s="11" t="s">
        <v>14</v>
      </c>
      <c r="F74" s="69">
        <f>25000+12080+3348+4000+4000</f>
        <v>48428</v>
      </c>
      <c r="G74" s="69"/>
      <c r="H74" s="69"/>
    </row>
    <row r="75" spans="1:8" x14ac:dyDescent="0.25">
      <c r="A75" s="151"/>
      <c r="B75" s="9"/>
      <c r="C75" s="9">
        <v>34</v>
      </c>
      <c r="D75" s="9"/>
      <c r="E75" s="9" t="s">
        <v>23</v>
      </c>
      <c r="F75" s="100">
        <f>F77+F76</f>
        <v>72922</v>
      </c>
      <c r="G75" s="100">
        <v>68000</v>
      </c>
      <c r="H75" s="100">
        <v>65000</v>
      </c>
    </row>
    <row r="76" spans="1:8" x14ac:dyDescent="0.25">
      <c r="A76" s="151" t="s">
        <v>171</v>
      </c>
      <c r="B76" s="9"/>
      <c r="C76" s="9"/>
      <c r="D76" s="11">
        <v>342</v>
      </c>
      <c r="E76" s="11" t="s">
        <v>69</v>
      </c>
      <c r="F76" s="69">
        <f>64166</f>
        <v>64166</v>
      </c>
      <c r="G76" s="69"/>
      <c r="H76" s="69"/>
    </row>
    <row r="77" spans="1:8" x14ac:dyDescent="0.25">
      <c r="A77" s="151" t="s">
        <v>171</v>
      </c>
      <c r="B77" s="11"/>
      <c r="C77" s="11"/>
      <c r="D77" s="11">
        <v>343</v>
      </c>
      <c r="E77" s="11" t="s">
        <v>24</v>
      </c>
      <c r="F77" s="69">
        <f>8756</f>
        <v>8756</v>
      </c>
      <c r="G77" s="69"/>
      <c r="H77" s="69"/>
    </row>
    <row r="78" spans="1:8" x14ac:dyDescent="0.25">
      <c r="A78" s="151"/>
      <c r="B78" s="9"/>
      <c r="C78" s="9">
        <v>35</v>
      </c>
      <c r="D78" s="9"/>
      <c r="E78" s="9" t="s">
        <v>38</v>
      </c>
      <c r="F78" s="100">
        <f>F79</f>
        <v>160000</v>
      </c>
      <c r="G78" s="100">
        <v>170000</v>
      </c>
      <c r="H78" s="100">
        <v>170000</v>
      </c>
    </row>
    <row r="79" spans="1:8" ht="26.25" x14ac:dyDescent="0.25">
      <c r="A79" s="151" t="s">
        <v>171</v>
      </c>
      <c r="B79" s="11"/>
      <c r="C79" s="11"/>
      <c r="D79" s="11">
        <v>352</v>
      </c>
      <c r="E79" s="14" t="s">
        <v>146</v>
      </c>
      <c r="F79" s="69">
        <f>155000+5000</f>
        <v>160000</v>
      </c>
      <c r="G79" s="69"/>
      <c r="H79" s="69"/>
    </row>
    <row r="80" spans="1:8" ht="26.25" x14ac:dyDescent="0.25">
      <c r="A80" s="151"/>
      <c r="B80" s="9"/>
      <c r="C80" s="9">
        <v>36</v>
      </c>
      <c r="D80" s="9"/>
      <c r="E80" s="15" t="s">
        <v>33</v>
      </c>
      <c r="F80" s="100">
        <f>F81</f>
        <v>49000</v>
      </c>
      <c r="G80" s="100">
        <v>49000</v>
      </c>
      <c r="H80" s="100">
        <v>49000</v>
      </c>
    </row>
    <row r="81" spans="1:17" x14ac:dyDescent="0.25">
      <c r="A81" s="151" t="s">
        <v>203</v>
      </c>
      <c r="B81" s="11"/>
      <c r="C81" s="11"/>
      <c r="D81" s="11">
        <v>363</v>
      </c>
      <c r="E81" s="11" t="s">
        <v>34</v>
      </c>
      <c r="F81" s="69">
        <f>40000+9000</f>
        <v>49000</v>
      </c>
      <c r="G81" s="69"/>
      <c r="H81" s="69"/>
      <c r="Q81" s="148"/>
    </row>
    <row r="82" spans="1:17" x14ac:dyDescent="0.25">
      <c r="A82" s="151"/>
      <c r="B82" s="9"/>
      <c r="C82" s="9">
        <v>37</v>
      </c>
      <c r="D82" s="9"/>
      <c r="E82" s="9" t="s">
        <v>45</v>
      </c>
      <c r="F82" s="100">
        <f>F83</f>
        <v>207510</v>
      </c>
      <c r="G82" s="100">
        <v>200000</v>
      </c>
      <c r="H82" s="100">
        <v>200000</v>
      </c>
    </row>
    <row r="83" spans="1:17" ht="26.25" x14ac:dyDescent="0.25">
      <c r="A83" s="151" t="s">
        <v>203</v>
      </c>
      <c r="B83" s="11"/>
      <c r="C83" s="11"/>
      <c r="D83" s="11">
        <v>372</v>
      </c>
      <c r="E83" s="14" t="s">
        <v>75</v>
      </c>
      <c r="F83" s="69">
        <f>10000+44000+54000+52510+27000+15000+5000</f>
        <v>207510</v>
      </c>
      <c r="G83" s="69"/>
      <c r="H83" s="69"/>
    </row>
    <row r="84" spans="1:17" x14ac:dyDescent="0.25">
      <c r="A84" s="151"/>
      <c r="B84" s="9"/>
      <c r="C84" s="9">
        <v>38</v>
      </c>
      <c r="D84" s="9"/>
      <c r="E84" s="9" t="s">
        <v>15</v>
      </c>
      <c r="F84" s="100">
        <f>F85</f>
        <v>247100</v>
      </c>
      <c r="G84" s="100">
        <v>200000</v>
      </c>
      <c r="H84" s="100">
        <v>205000</v>
      </c>
    </row>
    <row r="85" spans="1:17" x14ac:dyDescent="0.25">
      <c r="A85" s="151" t="s">
        <v>171</v>
      </c>
      <c r="B85" s="11"/>
      <c r="C85" s="11"/>
      <c r="D85" s="11">
        <v>381</v>
      </c>
      <c r="E85" s="11" t="s">
        <v>31</v>
      </c>
      <c r="F85" s="69">
        <f>13000+3000+56000+1000+5000+5000+77000+29000+13000+5000+4000+1600+6600+2500+10400+15000</f>
        <v>247100</v>
      </c>
      <c r="G85" s="69"/>
      <c r="H85" s="69"/>
    </row>
    <row r="87" spans="1:17" x14ac:dyDescent="0.25">
      <c r="B87" s="167" t="s">
        <v>40</v>
      </c>
      <c r="C87" s="167"/>
      <c r="D87" s="167"/>
      <c r="E87" s="167"/>
      <c r="F87" s="6"/>
      <c r="G87"/>
      <c r="H87"/>
    </row>
    <row r="89" spans="1:17" x14ac:dyDescent="0.25">
      <c r="A89" s="187" t="s">
        <v>201</v>
      </c>
      <c r="B89" s="170" t="s">
        <v>0</v>
      </c>
      <c r="C89" s="170"/>
      <c r="D89" s="170"/>
      <c r="E89" s="170"/>
      <c r="F89" s="171" t="s">
        <v>156</v>
      </c>
      <c r="G89" s="174" t="s">
        <v>137</v>
      </c>
      <c r="H89" s="174" t="s">
        <v>157</v>
      </c>
    </row>
    <row r="90" spans="1:17" x14ac:dyDescent="0.25">
      <c r="A90" s="187"/>
      <c r="B90" s="7"/>
      <c r="C90" s="170" t="s">
        <v>87</v>
      </c>
      <c r="D90" s="170"/>
      <c r="E90" s="170"/>
      <c r="F90" s="172"/>
      <c r="G90" s="175"/>
      <c r="H90" s="175"/>
    </row>
    <row r="91" spans="1:17" x14ac:dyDescent="0.25">
      <c r="A91" s="187"/>
      <c r="B91" s="7"/>
      <c r="C91" s="7"/>
      <c r="D91" s="170" t="s">
        <v>88</v>
      </c>
      <c r="E91" s="170"/>
      <c r="F91" s="172"/>
      <c r="G91" s="175"/>
      <c r="H91" s="175"/>
    </row>
    <row r="92" spans="1:17" x14ac:dyDescent="0.25">
      <c r="A92" s="187"/>
      <c r="B92" s="7"/>
      <c r="C92" s="7"/>
      <c r="D92" s="7"/>
      <c r="E92" s="8" t="s">
        <v>89</v>
      </c>
      <c r="F92" s="173"/>
      <c r="G92" s="176"/>
      <c r="H92" s="176"/>
    </row>
    <row r="93" spans="1:17" x14ac:dyDescent="0.25">
      <c r="A93" s="151"/>
      <c r="B93" s="8">
        <v>1</v>
      </c>
      <c r="C93" s="8">
        <v>2</v>
      </c>
      <c r="D93" s="8">
        <v>3</v>
      </c>
      <c r="E93" s="8">
        <v>4</v>
      </c>
      <c r="F93" s="8">
        <v>5</v>
      </c>
      <c r="G93" s="8">
        <v>6</v>
      </c>
      <c r="H93" s="8">
        <v>7</v>
      </c>
    </row>
    <row r="94" spans="1:17" x14ac:dyDescent="0.25">
      <c r="A94" s="151"/>
      <c r="B94" s="9">
        <v>4</v>
      </c>
      <c r="C94" s="9"/>
      <c r="D94" s="9"/>
      <c r="E94" s="9" t="s">
        <v>51</v>
      </c>
      <c r="F94" s="100">
        <f>F98+F95</f>
        <v>1554838</v>
      </c>
      <c r="G94" s="100">
        <f t="shared" ref="G94:H94" si="1">G98+G95</f>
        <v>1005000</v>
      </c>
      <c r="H94" s="100">
        <f t="shared" si="1"/>
        <v>1030000</v>
      </c>
    </row>
    <row r="95" spans="1:17" ht="26.25" x14ac:dyDescent="0.25">
      <c r="A95" s="151"/>
      <c r="B95" s="9"/>
      <c r="C95" s="9">
        <v>41</v>
      </c>
      <c r="D95" s="9"/>
      <c r="E95" s="15" t="s">
        <v>53</v>
      </c>
      <c r="F95" s="100">
        <f>F96+F97</f>
        <v>10000</v>
      </c>
      <c r="G95" s="100">
        <v>15000</v>
      </c>
      <c r="H95" s="100"/>
    </row>
    <row r="96" spans="1:17" x14ac:dyDescent="0.25">
      <c r="A96" s="151"/>
      <c r="B96" s="11"/>
      <c r="C96" s="11"/>
      <c r="D96" s="11">
        <v>411</v>
      </c>
      <c r="E96" s="11" t="s">
        <v>108</v>
      </c>
      <c r="F96" s="69"/>
      <c r="G96" s="69"/>
      <c r="H96" s="69"/>
    </row>
    <row r="97" spans="1:8" x14ac:dyDescent="0.25">
      <c r="A97" s="151" t="s">
        <v>171</v>
      </c>
      <c r="B97" s="11"/>
      <c r="C97" s="11"/>
      <c r="D97" s="11">
        <v>412</v>
      </c>
      <c r="E97" s="11" t="s">
        <v>54</v>
      </c>
      <c r="F97" s="69">
        <f>10000</f>
        <v>10000</v>
      </c>
      <c r="G97" s="69"/>
      <c r="H97" s="69"/>
    </row>
    <row r="98" spans="1:8" ht="26.25" x14ac:dyDescent="0.25">
      <c r="A98" s="151"/>
      <c r="B98" s="9"/>
      <c r="C98" s="9">
        <v>42</v>
      </c>
      <c r="D98" s="9"/>
      <c r="E98" s="15" t="s">
        <v>41</v>
      </c>
      <c r="F98" s="100">
        <f>F99+F100</f>
        <v>1544838</v>
      </c>
      <c r="G98" s="100">
        <v>990000</v>
      </c>
      <c r="H98" s="100">
        <f>20000+1000000+10000</f>
        <v>1030000</v>
      </c>
    </row>
    <row r="99" spans="1:8" x14ac:dyDescent="0.25">
      <c r="A99" s="151" t="s">
        <v>203</v>
      </c>
      <c r="B99" s="11"/>
      <c r="C99" s="11"/>
      <c r="D99" s="11">
        <v>421</v>
      </c>
      <c r="E99" s="11" t="s">
        <v>52</v>
      </c>
      <c r="F99" s="69">
        <f>481250+497500+179000+8588</f>
        <v>1166338</v>
      </c>
      <c r="G99" s="69"/>
      <c r="H99" s="69"/>
    </row>
    <row r="100" spans="1:8" x14ac:dyDescent="0.25">
      <c r="A100" s="151" t="s">
        <v>203</v>
      </c>
      <c r="B100" s="11"/>
      <c r="C100" s="11"/>
      <c r="D100" s="11">
        <v>422</v>
      </c>
      <c r="E100" s="11" t="s">
        <v>68</v>
      </c>
      <c r="F100" s="69">
        <f>13500+20000+70000+140000+105000+10000+20000</f>
        <v>378500</v>
      </c>
      <c r="G100" s="69"/>
      <c r="H100" s="69"/>
    </row>
    <row r="102" spans="1:8" x14ac:dyDescent="0.25">
      <c r="B102" s="167" t="s">
        <v>109</v>
      </c>
      <c r="C102" s="167"/>
      <c r="D102" s="167"/>
      <c r="E102" s="167"/>
      <c r="F102" s="6"/>
      <c r="G102"/>
      <c r="H102"/>
    </row>
    <row r="104" spans="1:8" x14ac:dyDescent="0.25">
      <c r="B104" s="167" t="s">
        <v>83</v>
      </c>
      <c r="C104" s="167"/>
      <c r="D104" s="167"/>
      <c r="E104" s="167"/>
      <c r="F104" s="6"/>
      <c r="G104"/>
      <c r="H104"/>
    </row>
    <row r="106" spans="1:8" x14ac:dyDescent="0.25">
      <c r="A106" s="187" t="s">
        <v>201</v>
      </c>
      <c r="B106" s="170" t="s">
        <v>0</v>
      </c>
      <c r="C106" s="170"/>
      <c r="D106" s="170"/>
      <c r="E106" s="170"/>
      <c r="F106" s="171" t="s">
        <v>156</v>
      </c>
      <c r="G106" s="174" t="s">
        <v>137</v>
      </c>
      <c r="H106" s="174" t="s">
        <v>157</v>
      </c>
    </row>
    <row r="107" spans="1:8" x14ac:dyDescent="0.25">
      <c r="A107" s="187"/>
      <c r="B107" s="7"/>
      <c r="C107" s="170" t="s">
        <v>87</v>
      </c>
      <c r="D107" s="170"/>
      <c r="E107" s="170"/>
      <c r="F107" s="172"/>
      <c r="G107" s="175"/>
      <c r="H107" s="175"/>
    </row>
    <row r="108" spans="1:8" x14ac:dyDescent="0.25">
      <c r="A108" s="187"/>
      <c r="B108" s="7"/>
      <c r="C108" s="7"/>
      <c r="D108" s="170" t="s">
        <v>88</v>
      </c>
      <c r="E108" s="170"/>
      <c r="F108" s="172"/>
      <c r="G108" s="175"/>
      <c r="H108" s="175"/>
    </row>
    <row r="109" spans="1:8" x14ac:dyDescent="0.25">
      <c r="A109" s="187"/>
      <c r="B109" s="7"/>
      <c r="C109" s="7"/>
      <c r="D109" s="7"/>
      <c r="E109" s="8" t="s">
        <v>89</v>
      </c>
      <c r="F109" s="173"/>
      <c r="G109" s="176"/>
      <c r="H109" s="176"/>
    </row>
    <row r="110" spans="1:8" x14ac:dyDescent="0.25">
      <c r="A110" s="187"/>
      <c r="B110" s="8">
        <v>1</v>
      </c>
      <c r="C110" s="8">
        <v>2</v>
      </c>
      <c r="D110" s="8">
        <v>3</v>
      </c>
      <c r="E110" s="8">
        <v>4</v>
      </c>
      <c r="F110" s="8">
        <v>5</v>
      </c>
      <c r="G110" s="8">
        <v>6</v>
      </c>
      <c r="H110" s="8">
        <v>7</v>
      </c>
    </row>
    <row r="111" spans="1:8" ht="26.25" x14ac:dyDescent="0.25">
      <c r="A111" s="151"/>
      <c r="B111" s="9">
        <v>8</v>
      </c>
      <c r="C111" s="9"/>
      <c r="D111" s="9"/>
      <c r="E111" s="15" t="s">
        <v>110</v>
      </c>
      <c r="F111" s="100">
        <f>F112</f>
        <v>1000</v>
      </c>
      <c r="G111" s="100">
        <f>G112</f>
        <v>1000</v>
      </c>
      <c r="H111" s="100">
        <f>H112</f>
        <v>1000</v>
      </c>
    </row>
    <row r="112" spans="1:8" ht="26.25" x14ac:dyDescent="0.25">
      <c r="A112" s="151"/>
      <c r="B112" s="9"/>
      <c r="C112" s="9">
        <v>81</v>
      </c>
      <c r="D112" s="9"/>
      <c r="E112" s="15" t="s">
        <v>111</v>
      </c>
      <c r="F112" s="100">
        <f>F113</f>
        <v>1000</v>
      </c>
      <c r="G112" s="100">
        <v>1000</v>
      </c>
      <c r="H112" s="100">
        <v>1000</v>
      </c>
    </row>
    <row r="113" spans="1:8" ht="39" x14ac:dyDescent="0.25">
      <c r="A113" s="151" t="s">
        <v>171</v>
      </c>
      <c r="B113" s="11"/>
      <c r="C113" s="11"/>
      <c r="D113" s="158">
        <v>812</v>
      </c>
      <c r="E113" s="14" t="s">
        <v>112</v>
      </c>
      <c r="F113" s="69">
        <v>1000</v>
      </c>
      <c r="G113" s="69"/>
      <c r="H113" s="69"/>
    </row>
    <row r="114" spans="1:8" x14ac:dyDescent="0.25">
      <c r="B114"/>
      <c r="C114"/>
      <c r="D114"/>
      <c r="E114"/>
      <c r="F114"/>
      <c r="G114"/>
      <c r="H114"/>
    </row>
    <row r="115" spans="1:8" x14ac:dyDescent="0.25">
      <c r="B115" s="3" t="s">
        <v>70</v>
      </c>
      <c r="C115"/>
      <c r="D115"/>
      <c r="E115"/>
      <c r="F115"/>
      <c r="G115"/>
      <c r="H115"/>
    </row>
    <row r="117" spans="1:8" x14ac:dyDescent="0.25">
      <c r="A117" s="187" t="s">
        <v>201</v>
      </c>
      <c r="B117" s="170" t="s">
        <v>0</v>
      </c>
      <c r="C117" s="170"/>
      <c r="D117" s="170"/>
      <c r="E117" s="170"/>
      <c r="F117" s="171" t="s">
        <v>156</v>
      </c>
      <c r="G117" s="174" t="s">
        <v>137</v>
      </c>
      <c r="H117" s="174" t="s">
        <v>157</v>
      </c>
    </row>
    <row r="118" spans="1:8" x14ac:dyDescent="0.25">
      <c r="A118" s="187"/>
      <c r="B118" s="7"/>
      <c r="C118" s="170" t="s">
        <v>87</v>
      </c>
      <c r="D118" s="170"/>
      <c r="E118" s="170"/>
      <c r="F118" s="172"/>
      <c r="G118" s="175"/>
      <c r="H118" s="175"/>
    </row>
    <row r="119" spans="1:8" x14ac:dyDescent="0.25">
      <c r="A119" s="187"/>
      <c r="B119" s="7"/>
      <c r="C119" s="7"/>
      <c r="D119" s="170" t="s">
        <v>88</v>
      </c>
      <c r="E119" s="170"/>
      <c r="F119" s="172"/>
      <c r="G119" s="175"/>
      <c r="H119" s="175"/>
    </row>
    <row r="120" spans="1:8" x14ac:dyDescent="0.25">
      <c r="A120" s="187"/>
      <c r="B120" s="7"/>
      <c r="C120" s="7"/>
      <c r="D120" s="7"/>
      <c r="E120" s="8" t="s">
        <v>89</v>
      </c>
      <c r="F120" s="173"/>
      <c r="G120" s="176"/>
      <c r="H120" s="176"/>
    </row>
    <row r="121" spans="1:8" x14ac:dyDescent="0.25">
      <c r="A121" s="187"/>
      <c r="B121" s="8">
        <v>1</v>
      </c>
      <c r="C121" s="8">
        <v>2</v>
      </c>
      <c r="D121" s="8">
        <v>3</v>
      </c>
      <c r="E121" s="8">
        <v>4</v>
      </c>
      <c r="F121" s="8">
        <v>5</v>
      </c>
      <c r="G121" s="8">
        <v>6</v>
      </c>
      <c r="H121" s="8">
        <v>7</v>
      </c>
    </row>
    <row r="122" spans="1:8" ht="26.25" x14ac:dyDescent="0.25">
      <c r="A122" s="151"/>
      <c r="B122" s="9">
        <v>5</v>
      </c>
      <c r="C122" s="9"/>
      <c r="D122" s="9"/>
      <c r="E122" s="15" t="s">
        <v>113</v>
      </c>
      <c r="F122" s="100">
        <f>F123</f>
        <v>300000</v>
      </c>
      <c r="G122" s="100">
        <f>G123</f>
        <v>300000</v>
      </c>
      <c r="H122" s="100">
        <f>H123</f>
        <v>300000</v>
      </c>
    </row>
    <row r="123" spans="1:8" ht="26.25" x14ac:dyDescent="0.25">
      <c r="A123" s="151"/>
      <c r="B123" s="9"/>
      <c r="C123" s="9">
        <v>54</v>
      </c>
      <c r="D123" s="9"/>
      <c r="E123" s="15" t="s">
        <v>71</v>
      </c>
      <c r="F123" s="100">
        <f>F124</f>
        <v>300000</v>
      </c>
      <c r="G123" s="100">
        <v>300000</v>
      </c>
      <c r="H123" s="100">
        <v>300000</v>
      </c>
    </row>
    <row r="124" spans="1:8" ht="26.25" x14ac:dyDescent="0.25">
      <c r="A124" s="151" t="s">
        <v>171</v>
      </c>
      <c r="B124" s="11"/>
      <c r="C124" s="11"/>
      <c r="D124" s="158">
        <v>543</v>
      </c>
      <c r="E124" s="14" t="s">
        <v>114</v>
      </c>
      <c r="F124" s="69">
        <v>300000</v>
      </c>
      <c r="G124" s="69"/>
      <c r="H124" s="69"/>
    </row>
    <row r="125" spans="1:8" x14ac:dyDescent="0.25">
      <c r="B125" s="16"/>
      <c r="C125" s="16"/>
      <c r="D125" s="16"/>
      <c r="E125" s="17"/>
      <c r="F125" s="104"/>
      <c r="G125" s="104"/>
      <c r="H125" s="104"/>
    </row>
    <row r="126" spans="1:8" x14ac:dyDescent="0.25">
      <c r="B126" s="16"/>
      <c r="C126" s="16"/>
      <c r="D126" s="16"/>
      <c r="E126" s="17"/>
      <c r="F126" s="18"/>
      <c r="G126" s="18"/>
      <c r="H126" s="18"/>
    </row>
    <row r="127" spans="1:8" ht="39" customHeight="1" x14ac:dyDescent="0.25">
      <c r="A127" s="190" t="s">
        <v>186</v>
      </c>
      <c r="B127" s="190"/>
      <c r="C127" s="190"/>
      <c r="D127" s="190"/>
      <c r="E127" s="157" t="s">
        <v>89</v>
      </c>
      <c r="F127" s="156" t="s">
        <v>156</v>
      </c>
      <c r="G127" s="156" t="s">
        <v>187</v>
      </c>
      <c r="H127" s="156" t="s">
        <v>188</v>
      </c>
    </row>
    <row r="128" spans="1:8" x14ac:dyDescent="0.25">
      <c r="A128" s="163" t="s">
        <v>171</v>
      </c>
      <c r="B128" s="163"/>
      <c r="C128" s="163"/>
      <c r="D128" s="163"/>
      <c r="E128" s="14" t="s">
        <v>172</v>
      </c>
      <c r="F128" s="12">
        <v>3467833.58</v>
      </c>
      <c r="G128" s="12">
        <v>3281000</v>
      </c>
      <c r="H128" s="12">
        <v>3236000</v>
      </c>
    </row>
    <row r="129" spans="1:8" x14ac:dyDescent="0.25">
      <c r="A129" s="163" t="s">
        <v>173</v>
      </c>
      <c r="B129" s="163"/>
      <c r="C129" s="163"/>
      <c r="D129" s="163"/>
      <c r="E129" s="14" t="s">
        <v>174</v>
      </c>
      <c r="F129" s="12"/>
      <c r="G129" s="12"/>
      <c r="H129" s="12"/>
    </row>
    <row r="130" spans="1:8" x14ac:dyDescent="0.25">
      <c r="A130" s="163" t="s">
        <v>175</v>
      </c>
      <c r="B130" s="163"/>
      <c r="C130" s="163"/>
      <c r="D130" s="163"/>
      <c r="E130" s="14" t="s">
        <v>176</v>
      </c>
      <c r="F130" s="12"/>
      <c r="G130" s="12"/>
      <c r="H130" s="12"/>
    </row>
    <row r="131" spans="1:8" x14ac:dyDescent="0.25">
      <c r="A131" s="163" t="s">
        <v>177</v>
      </c>
      <c r="B131" s="163"/>
      <c r="C131" s="163"/>
      <c r="D131" s="163"/>
      <c r="E131" s="14" t="s">
        <v>178</v>
      </c>
      <c r="F131" s="12">
        <f>2000+170000+6000+30000+5000</f>
        <v>213000</v>
      </c>
      <c r="G131" s="12">
        <v>170000</v>
      </c>
      <c r="H131" s="12">
        <v>170000</v>
      </c>
    </row>
    <row r="132" spans="1:8" x14ac:dyDescent="0.25">
      <c r="A132" s="163" t="s">
        <v>179</v>
      </c>
      <c r="B132" s="163"/>
      <c r="C132" s="163"/>
      <c r="D132" s="163"/>
      <c r="E132" s="14" t="s">
        <v>180</v>
      </c>
      <c r="F132" s="12">
        <f>10450+116223.01+40000+140000+49000+550000+200000+10706+24000+7315+75367+40000</f>
        <v>1263061.01</v>
      </c>
      <c r="G132" s="12">
        <v>593388</v>
      </c>
      <c r="H132" s="12">
        <v>624823.19999999995</v>
      </c>
    </row>
    <row r="133" spans="1:8" x14ac:dyDescent="0.25">
      <c r="A133" s="163" t="s">
        <v>181</v>
      </c>
      <c r="B133" s="163"/>
      <c r="C133" s="163"/>
      <c r="D133" s="163"/>
      <c r="E133" s="14" t="s">
        <v>182</v>
      </c>
      <c r="F133" s="12"/>
      <c r="G133" s="12"/>
      <c r="H133" s="12"/>
    </row>
    <row r="134" spans="1:8" ht="26.25" x14ac:dyDescent="0.25">
      <c r="A134" s="163" t="s">
        <v>183</v>
      </c>
      <c r="B134" s="163"/>
      <c r="C134" s="163"/>
      <c r="D134" s="163"/>
      <c r="E134" s="14" t="s">
        <v>189</v>
      </c>
      <c r="F134" s="12"/>
      <c r="G134" s="12"/>
      <c r="H134" s="12"/>
    </row>
    <row r="135" spans="1:8" x14ac:dyDescent="0.25">
      <c r="A135" s="163" t="s">
        <v>184</v>
      </c>
      <c r="B135" s="163"/>
      <c r="C135" s="163"/>
      <c r="D135" s="163"/>
      <c r="E135" s="14" t="s">
        <v>185</v>
      </c>
      <c r="F135" s="12"/>
      <c r="G135" s="12"/>
      <c r="H135" s="12"/>
    </row>
    <row r="136" spans="1:8" x14ac:dyDescent="0.25">
      <c r="A136" s="189"/>
      <c r="B136" s="189"/>
      <c r="C136" s="189"/>
      <c r="D136" s="189"/>
      <c r="E136" s="121" t="s">
        <v>190</v>
      </c>
      <c r="F136" s="12">
        <f>F128+F129+F130+F131+F132+F133+F134+F135</f>
        <v>4943894.59</v>
      </c>
      <c r="G136" s="12">
        <f t="shared" ref="G136:H136" si="2">G128+G129+G130+G131+G132+G133+G134+G135</f>
        <v>4044388</v>
      </c>
      <c r="H136" s="12">
        <f t="shared" si="2"/>
        <v>4030823.2</v>
      </c>
    </row>
    <row r="137" spans="1:8" x14ac:dyDescent="0.25">
      <c r="B137" s="16"/>
      <c r="C137" s="16"/>
      <c r="D137" s="16"/>
      <c r="E137" s="17"/>
      <c r="F137" s="18"/>
      <c r="G137" s="18"/>
      <c r="H137" s="18"/>
    </row>
    <row r="138" spans="1:8" x14ac:dyDescent="0.25">
      <c r="B138" s="177" t="s">
        <v>115</v>
      </c>
      <c r="C138" s="177"/>
      <c r="D138" s="177"/>
      <c r="E138" s="177"/>
      <c r="F138" s="177"/>
      <c r="G138" s="177"/>
      <c r="H138" s="177"/>
    </row>
    <row r="140" spans="1:8" x14ac:dyDescent="0.25">
      <c r="B140" s="178" t="s">
        <v>116</v>
      </c>
      <c r="C140" s="178"/>
      <c r="D140" s="178"/>
      <c r="E140" s="178"/>
      <c r="F140" s="178"/>
      <c r="G140" s="178"/>
      <c r="H140" s="178"/>
    </row>
    <row r="142" spans="1:8" ht="32.25" customHeight="1" x14ac:dyDescent="0.25">
      <c r="B142" s="179" t="s">
        <v>191</v>
      </c>
      <c r="C142" s="179"/>
      <c r="D142" s="179"/>
      <c r="E142" s="179"/>
      <c r="F142" s="179"/>
      <c r="G142" s="179"/>
      <c r="H142" s="179"/>
    </row>
    <row r="143" spans="1:8" x14ac:dyDescent="0.25">
      <c r="B143"/>
      <c r="C143"/>
      <c r="D143"/>
      <c r="E143"/>
      <c r="F143"/>
      <c r="G143"/>
      <c r="H143"/>
    </row>
    <row r="144" spans="1:8" x14ac:dyDescent="0.25">
      <c r="B144" s="170" t="s">
        <v>0</v>
      </c>
      <c r="C144" s="170"/>
      <c r="D144" s="170"/>
      <c r="E144" s="170"/>
      <c r="F144" s="171" t="s">
        <v>156</v>
      </c>
      <c r="G144" s="174" t="s">
        <v>137</v>
      </c>
      <c r="H144" s="174" t="s">
        <v>157</v>
      </c>
    </row>
    <row r="145" spans="2:11" x14ac:dyDescent="0.25">
      <c r="B145" s="7"/>
      <c r="C145" s="170" t="s">
        <v>87</v>
      </c>
      <c r="D145" s="170"/>
      <c r="E145" s="170"/>
      <c r="F145" s="172"/>
      <c r="G145" s="175"/>
      <c r="H145" s="175"/>
    </row>
    <row r="146" spans="2:11" x14ac:dyDescent="0.25">
      <c r="B146" s="7"/>
      <c r="C146" s="7"/>
      <c r="D146" s="170" t="s">
        <v>88</v>
      </c>
      <c r="E146" s="170"/>
      <c r="F146" s="172"/>
      <c r="G146" s="175"/>
      <c r="H146" s="175"/>
    </row>
    <row r="147" spans="2:11" x14ac:dyDescent="0.25">
      <c r="B147" s="7"/>
      <c r="C147" s="7"/>
      <c r="D147" s="7"/>
      <c r="E147" s="8" t="s">
        <v>89</v>
      </c>
      <c r="F147" s="173"/>
      <c r="G147" s="176"/>
      <c r="H147" s="176"/>
    </row>
    <row r="148" spans="2:11" x14ac:dyDescent="0.25">
      <c r="B148" s="8">
        <v>1</v>
      </c>
      <c r="C148" s="8">
        <v>2</v>
      </c>
      <c r="D148" s="8">
        <v>3</v>
      </c>
      <c r="E148" s="8">
        <v>4</v>
      </c>
      <c r="F148" s="8">
        <v>5</v>
      </c>
      <c r="G148" s="8">
        <v>6</v>
      </c>
      <c r="H148" s="8">
        <v>7</v>
      </c>
    </row>
    <row r="149" spans="2:11" ht="26.25" x14ac:dyDescent="0.25">
      <c r="B149" s="11"/>
      <c r="C149" s="19"/>
      <c r="D149" s="19"/>
      <c r="E149" s="20" t="s">
        <v>1</v>
      </c>
      <c r="F149" s="21">
        <f>F150</f>
        <v>176816.58000000002</v>
      </c>
      <c r="G149" s="21">
        <f>G150</f>
        <v>201802.58000000002</v>
      </c>
      <c r="H149" s="21">
        <f>H150</f>
        <v>201802.58000000002</v>
      </c>
    </row>
    <row r="150" spans="2:11" ht="26.25" x14ac:dyDescent="0.25">
      <c r="B150" s="11"/>
      <c r="C150" s="22"/>
      <c r="D150" s="22"/>
      <c r="E150" s="23" t="s">
        <v>2</v>
      </c>
      <c r="F150" s="24">
        <f>F152</f>
        <v>176816.58000000002</v>
      </c>
      <c r="G150" s="24">
        <f>G152</f>
        <v>201802.58000000002</v>
      </c>
      <c r="H150" s="24">
        <f>H152</f>
        <v>201802.58000000002</v>
      </c>
    </row>
    <row r="151" spans="2:11" ht="26.25" x14ac:dyDescent="0.25">
      <c r="B151" s="11"/>
      <c r="C151" s="11"/>
      <c r="D151" s="11"/>
      <c r="E151" s="25" t="s">
        <v>3</v>
      </c>
      <c r="F151" s="9"/>
      <c r="G151" s="9"/>
      <c r="H151" s="9"/>
      <c r="K151" s="113"/>
    </row>
    <row r="152" spans="2:11" ht="39" x14ac:dyDescent="0.25">
      <c r="B152" s="11"/>
      <c r="C152" s="26"/>
      <c r="D152" s="26"/>
      <c r="E152" s="27" t="s">
        <v>4</v>
      </c>
      <c r="F152" s="28">
        <f>F153+F164</f>
        <v>176816.58000000002</v>
      </c>
      <c r="G152" s="28">
        <f>G153+G164</f>
        <v>201802.58000000002</v>
      </c>
      <c r="H152" s="28">
        <f>H153+H164</f>
        <v>201802.58000000002</v>
      </c>
    </row>
    <row r="153" spans="2:11" x14ac:dyDescent="0.25">
      <c r="B153" s="16"/>
      <c r="C153" s="16"/>
      <c r="D153" s="29"/>
      <c r="E153" s="30" t="s">
        <v>5</v>
      </c>
      <c r="F153" s="31">
        <f>F155</f>
        <v>151816.58000000002</v>
      </c>
      <c r="G153" s="31">
        <f>G155</f>
        <v>176802.58000000002</v>
      </c>
      <c r="H153" s="31">
        <f>H155</f>
        <v>176802.58000000002</v>
      </c>
    </row>
    <row r="154" spans="2:11" x14ac:dyDescent="0.25">
      <c r="B154" s="16"/>
      <c r="C154" s="16"/>
      <c r="D154" s="29"/>
      <c r="E154" s="32" t="s">
        <v>30</v>
      </c>
      <c r="F154" s="33"/>
      <c r="G154" s="33"/>
      <c r="H154" s="33"/>
    </row>
    <row r="155" spans="2:11" x14ac:dyDescent="0.25">
      <c r="B155" s="34">
        <v>3</v>
      </c>
      <c r="C155" s="34"/>
      <c r="D155" s="34"/>
      <c r="E155" s="34" t="s">
        <v>6</v>
      </c>
      <c r="F155" s="10">
        <f>F156+F159+F162</f>
        <v>151816.58000000002</v>
      </c>
      <c r="G155" s="10">
        <f>G156+G159+G162</f>
        <v>176802.58000000002</v>
      </c>
      <c r="H155" s="10">
        <f>H156+H159+H162</f>
        <v>176802.58000000002</v>
      </c>
    </row>
    <row r="156" spans="2:11" x14ac:dyDescent="0.25">
      <c r="B156" s="34"/>
      <c r="C156" s="34">
        <v>31</v>
      </c>
      <c r="D156" s="34"/>
      <c r="E156" s="34" t="s">
        <v>7</v>
      </c>
      <c r="F156" s="10">
        <f>F157+F158</f>
        <v>103502.58</v>
      </c>
      <c r="G156" s="10">
        <v>128502.58</v>
      </c>
      <c r="H156" s="10">
        <v>128502.58</v>
      </c>
    </row>
    <row r="157" spans="2:11" x14ac:dyDescent="0.25">
      <c r="B157" s="35"/>
      <c r="C157" s="35"/>
      <c r="D157" s="35">
        <v>311</v>
      </c>
      <c r="E157" s="35" t="s">
        <v>8</v>
      </c>
      <c r="F157" s="12">
        <f>109643.84-20000-5000</f>
        <v>84643.839999999997</v>
      </c>
      <c r="G157" s="12"/>
      <c r="H157" s="12"/>
    </row>
    <row r="158" spans="2:11" x14ac:dyDescent="0.25">
      <c r="B158" s="35"/>
      <c r="C158" s="35"/>
      <c r="D158" s="35">
        <v>313</v>
      </c>
      <c r="E158" s="35" t="s">
        <v>10</v>
      </c>
      <c r="F158" s="12">
        <v>18858.740000000002</v>
      </c>
      <c r="G158" s="12"/>
      <c r="H158" s="12"/>
    </row>
    <row r="159" spans="2:11" x14ac:dyDescent="0.25">
      <c r="B159" s="34"/>
      <c r="C159" s="34">
        <v>32</v>
      </c>
      <c r="D159" s="34"/>
      <c r="E159" s="34" t="s">
        <v>11</v>
      </c>
      <c r="F159" s="10">
        <f>F160+F161</f>
        <v>35314</v>
      </c>
      <c r="G159" s="10">
        <v>35300</v>
      </c>
      <c r="H159" s="10">
        <v>35300</v>
      </c>
    </row>
    <row r="160" spans="2:11" x14ac:dyDescent="0.25">
      <c r="B160" s="35"/>
      <c r="C160" s="35"/>
      <c r="D160" s="35">
        <v>321</v>
      </c>
      <c r="E160" s="35" t="s">
        <v>12</v>
      </c>
      <c r="F160" s="12">
        <f>4464+20000+850</f>
        <v>25314</v>
      </c>
      <c r="G160" s="12"/>
      <c r="H160" s="12"/>
    </row>
    <row r="161" spans="2:8" x14ac:dyDescent="0.25">
      <c r="B161" s="35"/>
      <c r="C161" s="35"/>
      <c r="D161" s="35">
        <v>323</v>
      </c>
      <c r="E161" s="35" t="s">
        <v>13</v>
      </c>
      <c r="F161" s="12">
        <v>10000</v>
      </c>
      <c r="G161" s="12"/>
      <c r="H161" s="12"/>
    </row>
    <row r="162" spans="2:8" x14ac:dyDescent="0.25">
      <c r="B162" s="34"/>
      <c r="C162" s="34">
        <v>38</v>
      </c>
      <c r="D162" s="34"/>
      <c r="E162" s="34" t="s">
        <v>15</v>
      </c>
      <c r="F162" s="10">
        <f>F163</f>
        <v>13000</v>
      </c>
      <c r="G162" s="10">
        <v>13000</v>
      </c>
      <c r="H162" s="10">
        <v>13000</v>
      </c>
    </row>
    <row r="163" spans="2:8" x14ac:dyDescent="0.25">
      <c r="B163" s="35"/>
      <c r="C163" s="35"/>
      <c r="D163" s="35">
        <v>381</v>
      </c>
      <c r="E163" s="99" t="s">
        <v>138</v>
      </c>
      <c r="F163" s="12">
        <f>11000+2000</f>
        <v>13000</v>
      </c>
      <c r="G163" s="12"/>
      <c r="H163" s="12"/>
    </row>
    <row r="164" spans="2:8" x14ac:dyDescent="0.25">
      <c r="B164" s="36"/>
      <c r="C164" s="36"/>
      <c r="D164" s="37"/>
      <c r="E164" s="30" t="s">
        <v>16</v>
      </c>
      <c r="F164" s="31">
        <f>F166</f>
        <v>25000</v>
      </c>
      <c r="G164" s="31">
        <f>G166</f>
        <v>25000</v>
      </c>
      <c r="H164" s="31">
        <f>H166</f>
        <v>25000</v>
      </c>
    </row>
    <row r="165" spans="2:8" x14ac:dyDescent="0.25">
      <c r="B165" s="36"/>
      <c r="C165" s="36"/>
      <c r="D165" s="37"/>
      <c r="E165" s="32" t="s">
        <v>30</v>
      </c>
      <c r="F165" s="33"/>
      <c r="G165" s="33"/>
      <c r="H165" s="33"/>
    </row>
    <row r="166" spans="2:8" x14ac:dyDescent="0.25">
      <c r="B166" s="34">
        <v>3</v>
      </c>
      <c r="C166" s="34"/>
      <c r="D166" s="34"/>
      <c r="E166" s="34" t="s">
        <v>6</v>
      </c>
      <c r="F166" s="10">
        <f>F167</f>
        <v>25000</v>
      </c>
      <c r="G166" s="10">
        <f t="shared" ref="G166:H166" si="3">G167</f>
        <v>25000</v>
      </c>
      <c r="H166" s="10">
        <f t="shared" si="3"/>
        <v>25000</v>
      </c>
    </row>
    <row r="167" spans="2:8" x14ac:dyDescent="0.25">
      <c r="B167" s="34"/>
      <c r="C167" s="34">
        <v>32</v>
      </c>
      <c r="D167" s="34"/>
      <c r="E167" s="34" t="s">
        <v>11</v>
      </c>
      <c r="F167" s="10">
        <f>F168</f>
        <v>25000</v>
      </c>
      <c r="G167" s="10">
        <v>25000</v>
      </c>
      <c r="H167" s="10">
        <v>25000</v>
      </c>
    </row>
    <row r="168" spans="2:8" x14ac:dyDescent="0.25">
      <c r="B168" s="35"/>
      <c r="C168" s="35"/>
      <c r="D168" s="35">
        <v>329</v>
      </c>
      <c r="E168" s="35" t="s">
        <v>14</v>
      </c>
      <c r="F168" s="12">
        <f>20000+1500+3500</f>
        <v>25000</v>
      </c>
      <c r="G168" s="12"/>
      <c r="H168" s="12"/>
    </row>
    <row r="169" spans="2:8" ht="26.25" x14ac:dyDescent="0.25">
      <c r="B169" s="19"/>
      <c r="C169" s="19"/>
      <c r="D169" s="19"/>
      <c r="E169" s="40" t="s">
        <v>17</v>
      </c>
      <c r="F169" s="21">
        <f>F170+F225+F255+F309+F348+F388+F427</f>
        <v>4767078.01</v>
      </c>
      <c r="G169" s="21">
        <f>G170+G225+G255+G309+G348+G388+G427</f>
        <v>3842585.42</v>
      </c>
      <c r="H169" s="21">
        <f>H170+H225+H255+H309+H348+H388+H427</f>
        <v>3829020.62</v>
      </c>
    </row>
    <row r="170" spans="2:8" ht="26.25" x14ac:dyDescent="0.25">
      <c r="B170" s="22"/>
      <c r="C170" s="22"/>
      <c r="D170" s="22"/>
      <c r="E170" s="41" t="s">
        <v>18</v>
      </c>
      <c r="F170" s="24">
        <f>F172</f>
        <v>751194</v>
      </c>
      <c r="G170" s="24">
        <f t="shared" ref="G170:H170" si="4">G172</f>
        <v>611130.41</v>
      </c>
      <c r="H170" s="24">
        <f t="shared" si="4"/>
        <v>596886.73</v>
      </c>
    </row>
    <row r="171" spans="2:8" ht="26.25" x14ac:dyDescent="0.25">
      <c r="B171" s="11"/>
      <c r="C171" s="11"/>
      <c r="D171" s="11"/>
      <c r="E171" s="42" t="s">
        <v>3</v>
      </c>
      <c r="F171" s="9"/>
      <c r="G171" s="9"/>
      <c r="H171" s="9"/>
    </row>
    <row r="172" spans="2:8" ht="26.25" x14ac:dyDescent="0.25">
      <c r="B172" s="26"/>
      <c r="C172" s="26"/>
      <c r="D172" s="26"/>
      <c r="E172" s="43" t="s">
        <v>19</v>
      </c>
      <c r="F172" s="28">
        <f>F173+F193+F209+F200+F215+F220</f>
        <v>751194</v>
      </c>
      <c r="G172" s="28">
        <f>G173+G193+G209+G200+G215</f>
        <v>611130.41</v>
      </c>
      <c r="H172" s="28">
        <f>H173+H193+H209+H200+H215</f>
        <v>596886.73</v>
      </c>
    </row>
    <row r="173" spans="2:8" ht="26.25" x14ac:dyDescent="0.25">
      <c r="B173" s="16"/>
      <c r="C173" s="16"/>
      <c r="D173" s="29"/>
      <c r="E173" s="44" t="s">
        <v>20</v>
      </c>
      <c r="F173" s="31">
        <f>F175+F188</f>
        <v>577579</v>
      </c>
      <c r="G173" s="31">
        <f>G175+G188</f>
        <v>533063.41</v>
      </c>
      <c r="H173" s="31">
        <f>H175+H188</f>
        <v>518819.73</v>
      </c>
    </row>
    <row r="174" spans="2:8" x14ac:dyDescent="0.25">
      <c r="B174" s="16"/>
      <c r="C174" s="16"/>
      <c r="D174" s="29"/>
      <c r="E174" s="32" t="s">
        <v>194</v>
      </c>
      <c r="F174" s="33"/>
      <c r="G174" s="33"/>
      <c r="H174" s="33"/>
    </row>
    <row r="175" spans="2:8" x14ac:dyDescent="0.25">
      <c r="B175" s="34">
        <v>3</v>
      </c>
      <c r="C175" s="34"/>
      <c r="D175" s="34"/>
      <c r="E175" s="34" t="s">
        <v>6</v>
      </c>
      <c r="F175" s="10">
        <f>F176+F180+F186</f>
        <v>544079</v>
      </c>
      <c r="G175" s="10">
        <f>G176+G180+G186</f>
        <v>503563.41000000003</v>
      </c>
      <c r="H175" s="10">
        <f>H176+H180+H186</f>
        <v>518819.73</v>
      </c>
    </row>
    <row r="176" spans="2:8" x14ac:dyDescent="0.25">
      <c r="B176" s="34"/>
      <c r="C176" s="34">
        <v>31</v>
      </c>
      <c r="D176" s="34"/>
      <c r="E176" s="34" t="s">
        <v>7</v>
      </c>
      <c r="F176" s="10">
        <f>F177+F178+F179</f>
        <v>240112</v>
      </c>
      <c r="G176" s="10">
        <v>240112</v>
      </c>
      <c r="H176" s="10">
        <v>240112</v>
      </c>
    </row>
    <row r="177" spans="2:8" x14ac:dyDescent="0.25">
      <c r="B177" s="35"/>
      <c r="C177" s="35"/>
      <c r="D177" s="35">
        <v>311</v>
      </c>
      <c r="E177" s="35" t="s">
        <v>21</v>
      </c>
      <c r="F177" s="12">
        <f>78500+47000+67300</f>
        <v>192800</v>
      </c>
      <c r="G177" s="12"/>
      <c r="H177" s="12"/>
    </row>
    <row r="178" spans="2:8" x14ac:dyDescent="0.25">
      <c r="B178" s="35"/>
      <c r="C178" s="35"/>
      <c r="D178" s="35">
        <v>312</v>
      </c>
      <c r="E178" s="35" t="s">
        <v>9</v>
      </c>
      <c r="F178" s="12">
        <f>3600+3750+5000+1800</f>
        <v>14150</v>
      </c>
      <c r="G178" s="12"/>
      <c r="H178" s="12"/>
    </row>
    <row r="179" spans="2:8" x14ac:dyDescent="0.25">
      <c r="B179" s="35"/>
      <c r="C179" s="35"/>
      <c r="D179" s="35">
        <v>313</v>
      </c>
      <c r="E179" s="35" t="s">
        <v>10</v>
      </c>
      <c r="F179" s="12">
        <v>33162</v>
      </c>
      <c r="G179" s="12"/>
      <c r="H179" s="12"/>
    </row>
    <row r="180" spans="2:8" x14ac:dyDescent="0.25">
      <c r="B180" s="34"/>
      <c r="C180" s="34">
        <v>32</v>
      </c>
      <c r="D180" s="34"/>
      <c r="E180" s="34" t="s">
        <v>11</v>
      </c>
      <c r="F180" s="10">
        <f>F181+F182+F183+F184+F185</f>
        <v>295211</v>
      </c>
      <c r="G180" s="10">
        <f>233588.32+21155.36+6951.73-7000</f>
        <v>254695.41</v>
      </c>
      <c r="H180" s="10">
        <f>270000-48.27</f>
        <v>269951.73</v>
      </c>
    </row>
    <row r="181" spans="2:8" x14ac:dyDescent="0.25">
      <c r="B181" s="35"/>
      <c r="C181" s="35"/>
      <c r="D181" s="35">
        <v>321</v>
      </c>
      <c r="E181" s="35" t="s">
        <v>12</v>
      </c>
      <c r="F181" s="12">
        <f>13392+3000+500+425+10000</f>
        <v>27317</v>
      </c>
      <c r="G181" s="12"/>
      <c r="H181" s="12"/>
    </row>
    <row r="182" spans="2:8" x14ac:dyDescent="0.25">
      <c r="B182" s="35"/>
      <c r="C182" s="35"/>
      <c r="D182" s="35">
        <v>322</v>
      </c>
      <c r="E182" s="35" t="s">
        <v>22</v>
      </c>
      <c r="F182" s="12">
        <f>6000+22000+18000+3000+1000+3500+1000+500+12000</f>
        <v>67000</v>
      </c>
      <c r="G182" s="12"/>
      <c r="H182" s="12"/>
    </row>
    <row r="183" spans="2:8" x14ac:dyDescent="0.25">
      <c r="B183" s="35"/>
      <c r="C183" s="35"/>
      <c r="D183" s="35">
        <v>323</v>
      </c>
      <c r="E183" s="35" t="s">
        <v>13</v>
      </c>
      <c r="F183" s="12">
        <f>17000+10000+2000+20000+9000+5000+6000+1370+1000+700+2000+5000+5000+6000+20400+10000+12000+25000+1700+20500</f>
        <v>179670</v>
      </c>
      <c r="G183" s="12"/>
      <c r="H183" s="12"/>
    </row>
    <row r="184" spans="2:8" x14ac:dyDescent="0.25">
      <c r="B184" s="35"/>
      <c r="C184" s="35"/>
      <c r="D184" s="35">
        <v>324</v>
      </c>
      <c r="E184" s="35" t="s">
        <v>107</v>
      </c>
      <c r="F184" s="12">
        <v>9144</v>
      </c>
      <c r="G184" s="12"/>
      <c r="H184" s="12"/>
    </row>
    <row r="185" spans="2:8" x14ac:dyDescent="0.25">
      <c r="B185" s="35"/>
      <c r="C185" s="35"/>
      <c r="D185" s="35">
        <v>329</v>
      </c>
      <c r="E185" s="35" t="s">
        <v>14</v>
      </c>
      <c r="F185" s="12">
        <f>10000+80+2000</f>
        <v>12080</v>
      </c>
      <c r="G185" s="12"/>
      <c r="H185" s="12"/>
    </row>
    <row r="186" spans="2:8" x14ac:dyDescent="0.25">
      <c r="B186" s="34"/>
      <c r="C186" s="34">
        <v>34</v>
      </c>
      <c r="D186" s="34"/>
      <c r="E186" s="34" t="s">
        <v>23</v>
      </c>
      <c r="F186" s="10">
        <f>F187</f>
        <v>8756</v>
      </c>
      <c r="G186" s="10">
        <v>8756</v>
      </c>
      <c r="H186" s="10">
        <v>8756</v>
      </c>
    </row>
    <row r="187" spans="2:8" x14ac:dyDescent="0.25">
      <c r="B187" s="35"/>
      <c r="C187" s="35"/>
      <c r="D187" s="35">
        <v>343</v>
      </c>
      <c r="E187" s="35" t="s">
        <v>24</v>
      </c>
      <c r="F187" s="12">
        <f>6500+756+1500</f>
        <v>8756</v>
      </c>
      <c r="G187" s="12"/>
      <c r="H187" s="12"/>
    </row>
    <row r="188" spans="2:8" ht="26.25" x14ac:dyDescent="0.25">
      <c r="B188" s="34">
        <v>4</v>
      </c>
      <c r="C188" s="34"/>
      <c r="D188" s="34"/>
      <c r="E188" s="45" t="s">
        <v>40</v>
      </c>
      <c r="F188" s="10">
        <f>F189+F191</f>
        <v>33500</v>
      </c>
      <c r="G188" s="10">
        <f>G189+G191</f>
        <v>29500</v>
      </c>
      <c r="H188" s="10">
        <f t="shared" ref="H188" si="5">H189+H191</f>
        <v>0</v>
      </c>
    </row>
    <row r="189" spans="2:8" ht="26.25" x14ac:dyDescent="0.25">
      <c r="B189" s="35"/>
      <c r="C189" s="34">
        <v>41</v>
      </c>
      <c r="D189" s="34"/>
      <c r="E189" s="45" t="s">
        <v>53</v>
      </c>
      <c r="F189" s="10">
        <f>F190</f>
        <v>10000</v>
      </c>
      <c r="G189" s="10">
        <v>15000</v>
      </c>
      <c r="H189" s="10"/>
    </row>
    <row r="190" spans="2:8" x14ac:dyDescent="0.25">
      <c r="B190" s="35"/>
      <c r="C190" s="35"/>
      <c r="D190" s="35">
        <v>412</v>
      </c>
      <c r="E190" s="35" t="s">
        <v>54</v>
      </c>
      <c r="F190" s="12">
        <v>10000</v>
      </c>
      <c r="G190" s="12"/>
      <c r="H190" s="12"/>
    </row>
    <row r="191" spans="2:8" ht="26.25" x14ac:dyDescent="0.25">
      <c r="B191" s="35"/>
      <c r="C191" s="34">
        <v>42</v>
      </c>
      <c r="D191" s="35"/>
      <c r="E191" s="107" t="s">
        <v>160</v>
      </c>
      <c r="F191" s="10">
        <f>F192</f>
        <v>23500</v>
      </c>
      <c r="G191" s="10">
        <v>14500</v>
      </c>
      <c r="H191" s="10"/>
    </row>
    <row r="192" spans="2:8" x14ac:dyDescent="0.25">
      <c r="B192" s="35"/>
      <c r="C192" s="35"/>
      <c r="D192" s="35">
        <v>422</v>
      </c>
      <c r="E192" s="106" t="s">
        <v>68</v>
      </c>
      <c r="F192" s="12">
        <f>13500+10000</f>
        <v>23500</v>
      </c>
      <c r="G192" s="12"/>
      <c r="H192" s="12"/>
    </row>
    <row r="193" spans="2:8" ht="26.25" x14ac:dyDescent="0.25">
      <c r="B193" s="36"/>
      <c r="C193" s="36"/>
      <c r="D193" s="37"/>
      <c r="E193" s="46" t="s">
        <v>26</v>
      </c>
      <c r="F193" s="31">
        <f>F195</f>
        <v>10048</v>
      </c>
      <c r="G193" s="31">
        <f>G195</f>
        <v>5000</v>
      </c>
      <c r="H193" s="31">
        <f>H195</f>
        <v>5000</v>
      </c>
    </row>
    <row r="194" spans="2:8" x14ac:dyDescent="0.25">
      <c r="B194" s="36"/>
      <c r="C194" s="36"/>
      <c r="D194" s="37"/>
      <c r="E194" s="32" t="s">
        <v>30</v>
      </c>
      <c r="F194" s="33"/>
      <c r="G194" s="33"/>
      <c r="H194" s="33"/>
    </row>
    <row r="195" spans="2:8" x14ac:dyDescent="0.25">
      <c r="B195" s="34">
        <v>3</v>
      </c>
      <c r="C195" s="34"/>
      <c r="D195" s="34"/>
      <c r="E195" s="34" t="s">
        <v>6</v>
      </c>
      <c r="F195" s="10">
        <f>F196</f>
        <v>10048</v>
      </c>
      <c r="G195" s="10">
        <f t="shared" ref="G195:H195" si="6">G196</f>
        <v>5000</v>
      </c>
      <c r="H195" s="10">
        <f t="shared" si="6"/>
        <v>5000</v>
      </c>
    </row>
    <row r="196" spans="2:8" x14ac:dyDescent="0.25">
      <c r="B196" s="34"/>
      <c r="C196" s="34">
        <v>32</v>
      </c>
      <c r="D196" s="34"/>
      <c r="E196" s="34" t="s">
        <v>11</v>
      </c>
      <c r="F196" s="10">
        <f>F198+F199+F197</f>
        <v>10048</v>
      </c>
      <c r="G196" s="10">
        <v>5000</v>
      </c>
      <c r="H196" s="10">
        <v>5000</v>
      </c>
    </row>
    <row r="197" spans="2:8" x14ac:dyDescent="0.25">
      <c r="B197" s="34"/>
      <c r="C197" s="34"/>
      <c r="D197" s="35">
        <v>322</v>
      </c>
      <c r="E197" s="35" t="s">
        <v>22</v>
      </c>
      <c r="F197" s="12">
        <f>1700</f>
        <v>1700</v>
      </c>
      <c r="G197" s="10"/>
      <c r="H197" s="10"/>
    </row>
    <row r="198" spans="2:8" x14ac:dyDescent="0.25">
      <c r="B198" s="35"/>
      <c r="C198" s="35"/>
      <c r="D198" s="35">
        <v>323</v>
      </c>
      <c r="E198" s="35" t="s">
        <v>13</v>
      </c>
      <c r="F198" s="12">
        <f>5000+25000-15000-10000</f>
        <v>5000</v>
      </c>
      <c r="G198" s="12"/>
      <c r="H198" s="12"/>
    </row>
    <row r="199" spans="2:8" x14ac:dyDescent="0.25">
      <c r="B199" s="35"/>
      <c r="C199" s="35"/>
      <c r="D199" s="35">
        <v>329</v>
      </c>
      <c r="E199" s="35" t="s">
        <v>14</v>
      </c>
      <c r="F199" s="12">
        <f>1500+1848</f>
        <v>3348</v>
      </c>
      <c r="G199" s="12"/>
      <c r="H199" s="12"/>
    </row>
    <row r="200" spans="2:8" ht="26.25" x14ac:dyDescent="0.25">
      <c r="B200" s="39"/>
      <c r="C200" s="39"/>
      <c r="D200" s="47"/>
      <c r="E200" s="48" t="s">
        <v>25</v>
      </c>
      <c r="F200" s="31">
        <f>F202</f>
        <v>77067</v>
      </c>
      <c r="G200" s="31">
        <f>G202</f>
        <v>72567</v>
      </c>
      <c r="H200" s="31">
        <f>H202</f>
        <v>72567</v>
      </c>
    </row>
    <row r="201" spans="2:8" x14ac:dyDescent="0.25">
      <c r="B201" s="39"/>
      <c r="C201" s="39"/>
      <c r="D201" s="47"/>
      <c r="E201" s="32" t="s">
        <v>195</v>
      </c>
      <c r="F201" s="33"/>
      <c r="G201" s="33"/>
      <c r="H201" s="33"/>
    </row>
    <row r="202" spans="2:8" x14ac:dyDescent="0.25">
      <c r="B202" s="34">
        <v>3</v>
      </c>
      <c r="C202" s="34"/>
      <c r="D202" s="34"/>
      <c r="E202" s="34" t="s">
        <v>6</v>
      </c>
      <c r="F202" s="10">
        <f>F203+F206</f>
        <v>77067</v>
      </c>
      <c r="G202" s="10">
        <f>G203+G206</f>
        <v>72567</v>
      </c>
      <c r="H202" s="10">
        <f>H203+H206</f>
        <v>72567</v>
      </c>
    </row>
    <row r="203" spans="2:8" x14ac:dyDescent="0.25">
      <c r="B203" s="34"/>
      <c r="C203" s="34">
        <v>31</v>
      </c>
      <c r="D203" s="34"/>
      <c r="E203" s="34" t="s">
        <v>7</v>
      </c>
      <c r="F203" s="10">
        <f>F204+F205</f>
        <v>72567</v>
      </c>
      <c r="G203" s="10">
        <v>72567</v>
      </c>
      <c r="H203" s="10">
        <v>72567</v>
      </c>
    </row>
    <row r="204" spans="2:8" x14ac:dyDescent="0.25">
      <c r="B204" s="35"/>
      <c r="C204" s="35"/>
      <c r="D204" s="35">
        <v>311</v>
      </c>
      <c r="E204" s="35" t="s">
        <v>21</v>
      </c>
      <c r="F204" s="12">
        <v>61917</v>
      </c>
      <c r="G204" s="12"/>
      <c r="H204" s="12"/>
    </row>
    <row r="205" spans="2:8" x14ac:dyDescent="0.25">
      <c r="B205" s="35"/>
      <c r="C205" s="35"/>
      <c r="D205" s="35">
        <v>313</v>
      </c>
      <c r="E205" s="35" t="s">
        <v>10</v>
      </c>
      <c r="F205" s="12">
        <v>10650</v>
      </c>
      <c r="G205" s="12"/>
      <c r="H205" s="12"/>
    </row>
    <row r="206" spans="2:8" x14ac:dyDescent="0.25">
      <c r="B206" s="34"/>
      <c r="C206" s="34">
        <v>32</v>
      </c>
      <c r="D206" s="34"/>
      <c r="E206" s="34" t="s">
        <v>11</v>
      </c>
      <c r="F206" s="10">
        <f>F208+F207</f>
        <v>4500</v>
      </c>
      <c r="G206" s="10">
        <f t="shared" ref="G206:H206" si="7">G208+G207</f>
        <v>0</v>
      </c>
      <c r="H206" s="10">
        <f t="shared" si="7"/>
        <v>0</v>
      </c>
    </row>
    <row r="207" spans="2:8" x14ac:dyDescent="0.25">
      <c r="B207" s="34"/>
      <c r="C207" s="34"/>
      <c r="D207" s="35">
        <v>321</v>
      </c>
      <c r="E207" s="35" t="s">
        <v>12</v>
      </c>
      <c r="F207" s="12">
        <v>2800</v>
      </c>
      <c r="G207" s="10"/>
      <c r="H207" s="10"/>
    </row>
    <row r="208" spans="2:8" x14ac:dyDescent="0.25">
      <c r="B208" s="35"/>
      <c r="C208" s="35"/>
      <c r="D208" s="35">
        <v>322</v>
      </c>
      <c r="E208" s="35" t="s">
        <v>22</v>
      </c>
      <c r="F208" s="12">
        <v>1700</v>
      </c>
      <c r="G208" s="12"/>
      <c r="H208" s="12"/>
    </row>
    <row r="209" spans="2:8" ht="26.25" x14ac:dyDescent="0.25">
      <c r="B209" s="36"/>
      <c r="C209" s="36"/>
      <c r="D209" s="37"/>
      <c r="E209" s="48" t="s">
        <v>27</v>
      </c>
      <c r="F209" s="31">
        <f>F211</f>
        <v>59500</v>
      </c>
      <c r="G209" s="31">
        <f>G211</f>
        <v>500</v>
      </c>
      <c r="H209" s="31">
        <f>H211</f>
        <v>500</v>
      </c>
    </row>
    <row r="210" spans="2:8" x14ac:dyDescent="0.25">
      <c r="B210" s="36"/>
      <c r="C210" s="36"/>
      <c r="D210" s="37"/>
      <c r="E210" s="32" t="s">
        <v>30</v>
      </c>
      <c r="F210" s="33"/>
      <c r="G210" s="33"/>
      <c r="H210" s="33"/>
    </row>
    <row r="211" spans="2:8" x14ac:dyDescent="0.25">
      <c r="B211" s="34">
        <v>3</v>
      </c>
      <c r="C211" s="34"/>
      <c r="D211" s="34"/>
      <c r="E211" s="34" t="s">
        <v>6</v>
      </c>
      <c r="F211" s="10">
        <f>F212</f>
        <v>59500</v>
      </c>
      <c r="G211" s="10">
        <f t="shared" ref="G211:H211" si="8">G212</f>
        <v>500</v>
      </c>
      <c r="H211" s="10">
        <f t="shared" si="8"/>
        <v>500</v>
      </c>
    </row>
    <row r="212" spans="2:8" x14ac:dyDescent="0.25">
      <c r="B212" s="34"/>
      <c r="C212" s="34">
        <v>32</v>
      </c>
      <c r="D212" s="34"/>
      <c r="E212" s="34" t="s">
        <v>11</v>
      </c>
      <c r="F212" s="10">
        <f>F214+F213</f>
        <v>59500</v>
      </c>
      <c r="G212" s="10">
        <v>500</v>
      </c>
      <c r="H212" s="10">
        <v>500</v>
      </c>
    </row>
    <row r="213" spans="2:8" x14ac:dyDescent="0.25">
      <c r="B213" s="34"/>
      <c r="C213" s="34"/>
      <c r="D213" s="35">
        <v>322</v>
      </c>
      <c r="E213" s="35" t="s">
        <v>22</v>
      </c>
      <c r="F213" s="12">
        <f>1000+35000</f>
        <v>36000</v>
      </c>
      <c r="G213" s="10"/>
      <c r="H213" s="10"/>
    </row>
    <row r="214" spans="2:8" x14ac:dyDescent="0.25">
      <c r="B214" s="35"/>
      <c r="C214" s="35"/>
      <c r="D214" s="35">
        <v>323</v>
      </c>
      <c r="E214" s="35" t="s">
        <v>13</v>
      </c>
      <c r="F214" s="12">
        <f>6500+2000+15000</f>
        <v>23500</v>
      </c>
      <c r="G214" s="12"/>
      <c r="H214" s="12"/>
    </row>
    <row r="215" spans="2:8" x14ac:dyDescent="0.25">
      <c r="B215" s="36"/>
      <c r="C215" s="36"/>
      <c r="D215" s="37"/>
      <c r="E215" s="48" t="s">
        <v>150</v>
      </c>
      <c r="F215" s="31">
        <f>F217</f>
        <v>20000</v>
      </c>
      <c r="G215" s="31">
        <f>G217</f>
        <v>0</v>
      </c>
      <c r="H215" s="31">
        <f>H217</f>
        <v>0</v>
      </c>
    </row>
    <row r="216" spans="2:8" x14ac:dyDescent="0.25">
      <c r="B216" s="36"/>
      <c r="C216" s="36"/>
      <c r="D216" s="37"/>
      <c r="E216" s="32" t="s">
        <v>30</v>
      </c>
      <c r="F216" s="33"/>
      <c r="G216" s="33"/>
      <c r="H216" s="33"/>
    </row>
    <row r="217" spans="2:8" x14ac:dyDescent="0.25">
      <c r="B217" s="34">
        <v>3</v>
      </c>
      <c r="C217" s="34"/>
      <c r="D217" s="34"/>
      <c r="E217" s="34" t="s">
        <v>6</v>
      </c>
      <c r="F217" s="10">
        <f>F218</f>
        <v>20000</v>
      </c>
      <c r="G217" s="10"/>
      <c r="H217" s="10"/>
    </row>
    <row r="218" spans="2:8" x14ac:dyDescent="0.25">
      <c r="B218" s="34"/>
      <c r="C218" s="34">
        <v>32</v>
      </c>
      <c r="D218" s="34"/>
      <c r="E218" s="34" t="s">
        <v>11</v>
      </c>
      <c r="F218" s="10">
        <f>F219</f>
        <v>20000</v>
      </c>
      <c r="G218" s="12"/>
      <c r="H218" s="12"/>
    </row>
    <row r="219" spans="2:8" x14ac:dyDescent="0.25">
      <c r="B219" s="35"/>
      <c r="C219" s="35"/>
      <c r="D219" s="35">
        <v>323</v>
      </c>
      <c r="E219" s="35" t="s">
        <v>13</v>
      </c>
      <c r="F219" s="12">
        <v>20000</v>
      </c>
      <c r="G219" s="12"/>
      <c r="H219" s="12"/>
    </row>
    <row r="220" spans="2:8" ht="26.25" x14ac:dyDescent="0.25">
      <c r="B220" s="56"/>
      <c r="C220" s="56"/>
      <c r="D220" s="47"/>
      <c r="E220" s="48" t="s">
        <v>139</v>
      </c>
      <c r="F220" s="31">
        <f>F222</f>
        <v>7000</v>
      </c>
      <c r="G220" s="31">
        <f>G222</f>
        <v>0</v>
      </c>
      <c r="H220" s="31">
        <f>H222</f>
        <v>0</v>
      </c>
    </row>
    <row r="221" spans="2:8" x14ac:dyDescent="0.25">
      <c r="B221" s="56"/>
      <c r="C221" s="56"/>
      <c r="D221" s="47"/>
      <c r="E221" s="32" t="s">
        <v>30</v>
      </c>
      <c r="F221" s="18"/>
      <c r="G221" s="18"/>
      <c r="H221" s="18"/>
    </row>
    <row r="222" spans="2:8" x14ac:dyDescent="0.25">
      <c r="B222" s="34">
        <v>3</v>
      </c>
      <c r="C222" s="34"/>
      <c r="D222" s="35"/>
      <c r="E222" s="45" t="s">
        <v>6</v>
      </c>
      <c r="F222" s="10">
        <f>F223</f>
        <v>7000</v>
      </c>
      <c r="G222" s="10"/>
      <c r="H222" s="10"/>
    </row>
    <row r="223" spans="2:8" x14ac:dyDescent="0.25">
      <c r="B223" s="34"/>
      <c r="C223" s="34">
        <v>32</v>
      </c>
      <c r="D223" s="35"/>
      <c r="E223" s="45" t="s">
        <v>11</v>
      </c>
      <c r="F223" s="10">
        <f>F224</f>
        <v>7000</v>
      </c>
      <c r="G223" s="10"/>
      <c r="H223" s="10"/>
    </row>
    <row r="224" spans="2:8" x14ac:dyDescent="0.25">
      <c r="B224" s="54"/>
      <c r="C224" s="54"/>
      <c r="D224" s="35">
        <v>323</v>
      </c>
      <c r="E224" s="55" t="s">
        <v>13</v>
      </c>
      <c r="F224" s="12">
        <v>7000</v>
      </c>
      <c r="G224" s="12"/>
      <c r="H224" s="12"/>
    </row>
    <row r="225" spans="2:8" ht="26.25" x14ac:dyDescent="0.25">
      <c r="B225" s="22"/>
      <c r="C225" s="22"/>
      <c r="D225" s="22"/>
      <c r="E225" s="49" t="s">
        <v>28</v>
      </c>
      <c r="F225" s="24">
        <f>F227</f>
        <v>187500</v>
      </c>
      <c r="G225" s="24">
        <f t="shared" ref="G225:H225" si="9">G227</f>
        <v>102000</v>
      </c>
      <c r="H225" s="24">
        <f t="shared" si="9"/>
        <v>104000</v>
      </c>
    </row>
    <row r="226" spans="2:8" ht="26.25" x14ac:dyDescent="0.25">
      <c r="B226" s="11"/>
      <c r="C226" s="11"/>
      <c r="D226" s="11"/>
      <c r="E226" s="15" t="s">
        <v>29</v>
      </c>
      <c r="F226" s="10"/>
      <c r="G226" s="10"/>
      <c r="H226" s="10"/>
    </row>
    <row r="227" spans="2:8" ht="26.25" x14ac:dyDescent="0.25">
      <c r="B227" s="26"/>
      <c r="C227" s="26"/>
      <c r="D227" s="26"/>
      <c r="E227" s="50" t="s">
        <v>117</v>
      </c>
      <c r="F227" s="28">
        <f>F228+F233+F240+F245+F250</f>
        <v>187500</v>
      </c>
      <c r="G227" s="28">
        <f t="shared" ref="G227:H227" si="10">G228+G233+G240+G245+G250</f>
        <v>102000</v>
      </c>
      <c r="H227" s="28">
        <f t="shared" si="10"/>
        <v>104000</v>
      </c>
    </row>
    <row r="228" spans="2:8" x14ac:dyDescent="0.25">
      <c r="B228" s="51"/>
      <c r="C228" s="51"/>
      <c r="D228" s="52"/>
      <c r="E228" s="53" t="s">
        <v>118</v>
      </c>
      <c r="F228" s="31">
        <f>F230</f>
        <v>3000</v>
      </c>
      <c r="G228" s="31">
        <f>G230</f>
        <v>3000</v>
      </c>
      <c r="H228" s="31">
        <f>H230</f>
        <v>3000</v>
      </c>
    </row>
    <row r="229" spans="2:8" x14ac:dyDescent="0.25">
      <c r="B229" s="51"/>
      <c r="C229" s="51"/>
      <c r="D229" s="52"/>
      <c r="E229" s="32" t="s">
        <v>30</v>
      </c>
      <c r="F229" s="33"/>
      <c r="G229" s="33"/>
      <c r="H229" s="33"/>
    </row>
    <row r="230" spans="2:8" x14ac:dyDescent="0.25">
      <c r="B230" s="34">
        <v>3</v>
      </c>
      <c r="C230" s="34"/>
      <c r="D230" s="34"/>
      <c r="E230" s="34" t="s">
        <v>6</v>
      </c>
      <c r="F230" s="10">
        <f>F231</f>
        <v>3000</v>
      </c>
      <c r="G230" s="10">
        <f t="shared" ref="G230:H230" si="11">G231</f>
        <v>3000</v>
      </c>
      <c r="H230" s="10">
        <f t="shared" si="11"/>
        <v>3000</v>
      </c>
    </row>
    <row r="231" spans="2:8" x14ac:dyDescent="0.25">
      <c r="B231" s="34"/>
      <c r="C231" s="34">
        <v>38</v>
      </c>
      <c r="D231" s="34"/>
      <c r="E231" s="34" t="s">
        <v>15</v>
      </c>
      <c r="F231" s="10">
        <f>F232</f>
        <v>3000</v>
      </c>
      <c r="G231" s="10">
        <v>3000</v>
      </c>
      <c r="H231" s="10">
        <v>3000</v>
      </c>
    </row>
    <row r="232" spans="2:8" x14ac:dyDescent="0.25">
      <c r="B232" s="54"/>
      <c r="C232" s="54"/>
      <c r="D232" s="35">
        <v>381</v>
      </c>
      <c r="E232" s="55" t="s">
        <v>31</v>
      </c>
      <c r="F232" s="12">
        <v>3000</v>
      </c>
      <c r="G232" s="12"/>
      <c r="H232" s="12"/>
    </row>
    <row r="233" spans="2:8" x14ac:dyDescent="0.25">
      <c r="B233" s="51"/>
      <c r="C233" s="51"/>
      <c r="D233" s="52"/>
      <c r="E233" s="53" t="s">
        <v>32</v>
      </c>
      <c r="F233" s="31">
        <f>F235</f>
        <v>96000</v>
      </c>
      <c r="G233" s="31">
        <f>G235</f>
        <v>96000</v>
      </c>
      <c r="H233" s="31">
        <f>H235</f>
        <v>96000</v>
      </c>
    </row>
    <row r="234" spans="2:8" x14ac:dyDescent="0.25">
      <c r="B234" s="51"/>
      <c r="C234" s="51"/>
      <c r="D234" s="52"/>
      <c r="E234" s="32" t="s">
        <v>194</v>
      </c>
      <c r="F234" s="33"/>
      <c r="G234" s="33"/>
      <c r="H234" s="33"/>
    </row>
    <row r="235" spans="2:8" x14ac:dyDescent="0.25">
      <c r="B235" s="34">
        <v>3</v>
      </c>
      <c r="C235" s="34"/>
      <c r="D235" s="34"/>
      <c r="E235" s="34" t="s">
        <v>6</v>
      </c>
      <c r="F235" s="10">
        <f>F236+F238</f>
        <v>96000</v>
      </c>
      <c r="G235" s="10">
        <f t="shared" ref="G235:H235" si="12">G236+G238</f>
        <v>96000</v>
      </c>
      <c r="H235" s="10">
        <f t="shared" si="12"/>
        <v>96000</v>
      </c>
    </row>
    <row r="236" spans="2:8" ht="26.25" x14ac:dyDescent="0.25">
      <c r="B236" s="34"/>
      <c r="C236" s="34">
        <v>36</v>
      </c>
      <c r="D236" s="34"/>
      <c r="E236" s="45" t="s">
        <v>33</v>
      </c>
      <c r="F236" s="10">
        <f>F237</f>
        <v>40000</v>
      </c>
      <c r="G236" s="10">
        <v>40000</v>
      </c>
      <c r="H236" s="10">
        <v>40000</v>
      </c>
    </row>
    <row r="237" spans="2:8" x14ac:dyDescent="0.25">
      <c r="B237" s="34"/>
      <c r="C237" s="34"/>
      <c r="D237" s="35">
        <v>363</v>
      </c>
      <c r="E237" s="35" t="s">
        <v>34</v>
      </c>
      <c r="F237" s="12">
        <v>40000</v>
      </c>
      <c r="G237" s="12"/>
      <c r="H237" s="12"/>
    </row>
    <row r="238" spans="2:8" x14ac:dyDescent="0.25">
      <c r="B238" s="34"/>
      <c r="C238" s="34">
        <v>38</v>
      </c>
      <c r="D238" s="34"/>
      <c r="E238" s="34" t="s">
        <v>15</v>
      </c>
      <c r="F238" s="10">
        <f>F239</f>
        <v>56000</v>
      </c>
      <c r="G238" s="10">
        <v>56000</v>
      </c>
      <c r="H238" s="10">
        <v>56000</v>
      </c>
    </row>
    <row r="239" spans="2:8" x14ac:dyDescent="0.25">
      <c r="B239" s="54"/>
      <c r="C239" s="54"/>
      <c r="D239" s="35">
        <v>381</v>
      </c>
      <c r="E239" s="55" t="s">
        <v>31</v>
      </c>
      <c r="F239" s="12">
        <f>12000+20000+12000+12000</f>
        <v>56000</v>
      </c>
      <c r="G239" s="12"/>
      <c r="H239" s="12"/>
    </row>
    <row r="240" spans="2:8" ht="26.25" x14ac:dyDescent="0.25">
      <c r="B240" s="51"/>
      <c r="C240" s="51"/>
      <c r="D240" s="51"/>
      <c r="E240" s="57" t="s">
        <v>119</v>
      </c>
      <c r="F240" s="31">
        <f>F242</f>
        <v>1000</v>
      </c>
      <c r="G240" s="31">
        <f>G242</f>
        <v>1000</v>
      </c>
      <c r="H240" s="31">
        <f>H242</f>
        <v>1000</v>
      </c>
    </row>
    <row r="241" spans="2:9" x14ac:dyDescent="0.25">
      <c r="B241" s="51"/>
      <c r="C241" s="51"/>
      <c r="D241" s="51"/>
      <c r="E241" s="32" t="s">
        <v>30</v>
      </c>
      <c r="F241" s="33"/>
      <c r="G241" s="33"/>
      <c r="H241" s="33"/>
    </row>
    <row r="242" spans="2:9" x14ac:dyDescent="0.25">
      <c r="B242" s="34">
        <v>3</v>
      </c>
      <c r="C242" s="34"/>
      <c r="D242" s="34"/>
      <c r="E242" s="34" t="s">
        <v>6</v>
      </c>
      <c r="F242" s="10">
        <f>F243</f>
        <v>1000</v>
      </c>
      <c r="G242" s="10">
        <f t="shared" ref="G242:H242" si="13">G243</f>
        <v>1000</v>
      </c>
      <c r="H242" s="10">
        <f t="shared" si="13"/>
        <v>1000</v>
      </c>
    </row>
    <row r="243" spans="2:9" x14ac:dyDescent="0.25">
      <c r="B243" s="34"/>
      <c r="C243" s="34">
        <v>38</v>
      </c>
      <c r="D243" s="34"/>
      <c r="E243" s="34" t="s">
        <v>15</v>
      </c>
      <c r="F243" s="10">
        <f>F244</f>
        <v>1000</v>
      </c>
      <c r="G243" s="10">
        <v>1000</v>
      </c>
      <c r="H243" s="10">
        <v>1000</v>
      </c>
    </row>
    <row r="244" spans="2:9" x14ac:dyDescent="0.25">
      <c r="B244" s="54"/>
      <c r="C244" s="54"/>
      <c r="D244" s="35">
        <v>381</v>
      </c>
      <c r="E244" s="55" t="s">
        <v>31</v>
      </c>
      <c r="F244" s="12">
        <v>1000</v>
      </c>
      <c r="G244" s="12"/>
      <c r="H244" s="12"/>
    </row>
    <row r="245" spans="2:9" x14ac:dyDescent="0.25">
      <c r="B245" s="51"/>
      <c r="C245" s="51"/>
      <c r="D245" s="51"/>
      <c r="E245" s="57" t="s">
        <v>151</v>
      </c>
      <c r="F245" s="31">
        <f>F247</f>
        <v>7500</v>
      </c>
      <c r="G245" s="31">
        <f>G247</f>
        <v>2000</v>
      </c>
      <c r="H245" s="31">
        <f>H247</f>
        <v>4000</v>
      </c>
    </row>
    <row r="246" spans="2:9" x14ac:dyDescent="0.25">
      <c r="B246" s="51"/>
      <c r="C246" s="51"/>
      <c r="D246" s="51"/>
      <c r="E246" s="32" t="s">
        <v>30</v>
      </c>
      <c r="F246" s="33"/>
      <c r="G246" s="33"/>
      <c r="H246" s="33"/>
    </row>
    <row r="247" spans="2:9" x14ac:dyDescent="0.25">
      <c r="B247" s="34">
        <v>3</v>
      </c>
      <c r="C247" s="34"/>
      <c r="D247" s="34"/>
      <c r="E247" s="34" t="s">
        <v>6</v>
      </c>
      <c r="F247" s="10">
        <f>F248</f>
        <v>7500</v>
      </c>
      <c r="G247" s="10">
        <f t="shared" ref="G247:H247" si="14">G248</f>
        <v>2000</v>
      </c>
      <c r="H247" s="10">
        <f t="shared" si="14"/>
        <v>4000</v>
      </c>
    </row>
    <row r="248" spans="2:9" x14ac:dyDescent="0.25">
      <c r="B248" s="34"/>
      <c r="C248" s="34">
        <v>38</v>
      </c>
      <c r="D248" s="34"/>
      <c r="E248" s="34" t="s">
        <v>15</v>
      </c>
      <c r="F248" s="10">
        <f>F249</f>
        <v>7500</v>
      </c>
      <c r="G248" s="10">
        <v>2000</v>
      </c>
      <c r="H248" s="10">
        <v>4000</v>
      </c>
    </row>
    <row r="249" spans="2:9" x14ac:dyDescent="0.25">
      <c r="B249" s="54"/>
      <c r="C249" s="54"/>
      <c r="D249" s="35">
        <v>381</v>
      </c>
      <c r="E249" s="55" t="s">
        <v>31</v>
      </c>
      <c r="F249" s="12">
        <f>5000+2500</f>
        <v>7500</v>
      </c>
      <c r="G249" s="12"/>
      <c r="H249" s="12"/>
    </row>
    <row r="250" spans="2:9" ht="26.25" x14ac:dyDescent="0.25">
      <c r="B250" s="132"/>
      <c r="C250" s="132"/>
      <c r="D250" s="136"/>
      <c r="E250" s="108" t="s">
        <v>161</v>
      </c>
      <c r="F250" s="74">
        <f>F252</f>
        <v>80000</v>
      </c>
      <c r="G250" s="74">
        <f t="shared" ref="G250:H250" si="15">G252</f>
        <v>0</v>
      </c>
      <c r="H250" s="74">
        <f t="shared" si="15"/>
        <v>0</v>
      </c>
    </row>
    <row r="251" spans="2:9" x14ac:dyDescent="0.25">
      <c r="B251" s="133"/>
      <c r="C251" s="134"/>
      <c r="D251" s="135"/>
      <c r="E251" s="32" t="s">
        <v>30</v>
      </c>
      <c r="F251" s="137"/>
      <c r="G251" s="139"/>
      <c r="H251" s="139"/>
      <c r="I251" s="138"/>
    </row>
    <row r="252" spans="2:9" x14ac:dyDescent="0.25">
      <c r="B252" s="34">
        <v>3</v>
      </c>
      <c r="C252" s="54"/>
      <c r="D252" s="35"/>
      <c r="E252" s="34" t="s">
        <v>6</v>
      </c>
      <c r="F252" s="10">
        <f>F253</f>
        <v>80000</v>
      </c>
      <c r="G252" s="10">
        <f t="shared" ref="G252:H253" si="16">G253</f>
        <v>0</v>
      </c>
      <c r="H252" s="10">
        <f t="shared" si="16"/>
        <v>0</v>
      </c>
    </row>
    <row r="253" spans="2:9" x14ac:dyDescent="0.25">
      <c r="B253" s="54"/>
      <c r="C253" s="34">
        <v>32</v>
      </c>
      <c r="D253" s="35"/>
      <c r="E253" s="45" t="s">
        <v>11</v>
      </c>
      <c r="F253" s="10">
        <f>F254</f>
        <v>80000</v>
      </c>
      <c r="G253" s="10">
        <f t="shared" si="16"/>
        <v>0</v>
      </c>
      <c r="H253" s="10">
        <f t="shared" si="16"/>
        <v>0</v>
      </c>
    </row>
    <row r="254" spans="2:9" x14ac:dyDescent="0.25">
      <c r="B254" s="54"/>
      <c r="C254" s="54"/>
      <c r="D254" s="35">
        <v>323</v>
      </c>
      <c r="E254" s="55" t="s">
        <v>13</v>
      </c>
      <c r="F254" s="12">
        <f>150000-6600-10000-2500-10400-40500</f>
        <v>80000</v>
      </c>
      <c r="G254" s="12"/>
      <c r="H254" s="12"/>
    </row>
    <row r="255" spans="2:9" ht="26.25" x14ac:dyDescent="0.25">
      <c r="B255" s="58"/>
      <c r="C255" s="58"/>
      <c r="D255" s="58"/>
      <c r="E255" s="59" t="s">
        <v>35</v>
      </c>
      <c r="F255" s="24">
        <f>F257</f>
        <v>1600106</v>
      </c>
      <c r="G255" s="24">
        <f>G257</f>
        <v>1418622</v>
      </c>
      <c r="H255" s="24">
        <f t="shared" ref="H255" si="17">H257</f>
        <v>1223044</v>
      </c>
    </row>
    <row r="256" spans="2:9" ht="26.25" x14ac:dyDescent="0.25">
      <c r="B256" s="34"/>
      <c r="C256" s="34"/>
      <c r="D256" s="34"/>
      <c r="E256" s="45" t="s">
        <v>36</v>
      </c>
      <c r="F256" s="10"/>
      <c r="G256" s="10"/>
      <c r="H256" s="10"/>
    </row>
    <row r="257" spans="2:8" ht="26.25" x14ac:dyDescent="0.25">
      <c r="B257" s="60"/>
      <c r="C257" s="60"/>
      <c r="D257" s="60"/>
      <c r="E257" s="61" t="s">
        <v>37</v>
      </c>
      <c r="F257" s="28">
        <f>F258+F265+F270+F275+F282+F289+F294+F304+F299</f>
        <v>1600106</v>
      </c>
      <c r="G257" s="28">
        <f>G258+G265+G270+G275+G282+G289+G294+G304+G299</f>
        <v>1418622</v>
      </c>
      <c r="H257" s="28">
        <f>H258+H265+H270+H275+H282+H289+H294+H304+H299</f>
        <v>1223044</v>
      </c>
    </row>
    <row r="258" spans="2:8" x14ac:dyDescent="0.25">
      <c r="B258" s="36"/>
      <c r="C258" s="36"/>
      <c r="D258" s="36"/>
      <c r="E258" s="48" t="s">
        <v>145</v>
      </c>
      <c r="F258" s="31">
        <f>F260</f>
        <v>160000</v>
      </c>
      <c r="G258" s="31">
        <f>G260</f>
        <v>171000</v>
      </c>
      <c r="H258" s="31">
        <f>H260</f>
        <v>171000</v>
      </c>
    </row>
    <row r="259" spans="2:8" x14ac:dyDescent="0.25">
      <c r="B259" s="36"/>
      <c r="C259" s="36"/>
      <c r="D259" s="36"/>
      <c r="E259" s="32" t="s">
        <v>30</v>
      </c>
      <c r="F259" s="33"/>
      <c r="G259" s="33"/>
      <c r="H259" s="33"/>
    </row>
    <row r="260" spans="2:8" x14ac:dyDescent="0.25">
      <c r="B260" s="34">
        <v>3</v>
      </c>
      <c r="C260" s="34"/>
      <c r="D260" s="34"/>
      <c r="E260" s="34" t="s">
        <v>6</v>
      </c>
      <c r="F260" s="10">
        <f>F261+F263</f>
        <v>160000</v>
      </c>
      <c r="G260" s="10">
        <f t="shared" ref="G260:H260" si="18">G261+G263</f>
        <v>171000</v>
      </c>
      <c r="H260" s="10">
        <f t="shared" si="18"/>
        <v>171000</v>
      </c>
    </row>
    <row r="261" spans="2:8" x14ac:dyDescent="0.25">
      <c r="B261" s="34"/>
      <c r="C261" s="34">
        <v>35</v>
      </c>
      <c r="D261" s="34"/>
      <c r="E261" s="34" t="s">
        <v>38</v>
      </c>
      <c r="F261" s="10">
        <f>F262</f>
        <v>155000</v>
      </c>
      <c r="G261" s="10">
        <v>166000</v>
      </c>
      <c r="H261" s="10">
        <v>166000</v>
      </c>
    </row>
    <row r="262" spans="2:8" x14ac:dyDescent="0.25">
      <c r="B262" s="54"/>
      <c r="C262" s="54"/>
      <c r="D262" s="35">
        <v>352</v>
      </c>
      <c r="E262" s="55" t="s">
        <v>144</v>
      </c>
      <c r="F262" s="12">
        <f>15000+130000+10000</f>
        <v>155000</v>
      </c>
      <c r="G262" s="12"/>
      <c r="H262" s="12"/>
    </row>
    <row r="263" spans="2:8" x14ac:dyDescent="0.25">
      <c r="B263" s="54"/>
      <c r="C263" s="34">
        <v>38</v>
      </c>
      <c r="D263" s="35"/>
      <c r="E263" s="45" t="s">
        <v>15</v>
      </c>
      <c r="F263" s="10">
        <f>F264</f>
        <v>5000</v>
      </c>
      <c r="G263" s="10">
        <v>5000</v>
      </c>
      <c r="H263" s="10">
        <v>5000</v>
      </c>
    </row>
    <row r="264" spans="2:8" ht="26.25" x14ac:dyDescent="0.25">
      <c r="B264" s="11"/>
      <c r="C264" s="11"/>
      <c r="D264" s="11">
        <v>381</v>
      </c>
      <c r="E264" s="14" t="s">
        <v>39</v>
      </c>
      <c r="F264" s="12">
        <v>5000</v>
      </c>
      <c r="G264" s="12"/>
      <c r="H264" s="12"/>
    </row>
    <row r="265" spans="2:8" x14ac:dyDescent="0.25">
      <c r="B265" s="56"/>
      <c r="C265" s="39"/>
      <c r="D265" s="39"/>
      <c r="E265" s="30" t="s">
        <v>42</v>
      </c>
      <c r="F265" s="31">
        <f>F267</f>
        <v>1157750</v>
      </c>
      <c r="G265" s="31">
        <f t="shared" ref="G265:H265" si="19">G267</f>
        <v>954622</v>
      </c>
      <c r="H265" s="31">
        <f t="shared" si="19"/>
        <v>1010044</v>
      </c>
    </row>
    <row r="266" spans="2:8" x14ac:dyDescent="0.25">
      <c r="B266" s="56"/>
      <c r="C266" s="39"/>
      <c r="D266" s="39"/>
      <c r="E266" s="32" t="s">
        <v>194</v>
      </c>
      <c r="F266" s="33"/>
      <c r="G266" s="33"/>
      <c r="H266" s="33"/>
    </row>
    <row r="267" spans="2:8" ht="26.25" x14ac:dyDescent="0.25">
      <c r="B267" s="34">
        <v>4</v>
      </c>
      <c r="C267" s="34"/>
      <c r="D267" s="34"/>
      <c r="E267" s="45" t="s">
        <v>40</v>
      </c>
      <c r="F267" s="10">
        <f>F268</f>
        <v>1157750</v>
      </c>
      <c r="G267" s="10">
        <f>G268</f>
        <v>954622</v>
      </c>
      <c r="H267" s="10">
        <f t="shared" ref="H267" si="20">H268</f>
        <v>1010044</v>
      </c>
    </row>
    <row r="268" spans="2:8" ht="26.25" x14ac:dyDescent="0.25">
      <c r="B268" s="35"/>
      <c r="C268" s="34">
        <v>42</v>
      </c>
      <c r="D268" s="35"/>
      <c r="E268" s="45" t="s">
        <v>41</v>
      </c>
      <c r="F268" s="100">
        <f>F269</f>
        <v>1157750</v>
      </c>
      <c r="G268" s="10">
        <f>489460+465162</f>
        <v>954622</v>
      </c>
      <c r="H268" s="10">
        <f>652956+357088</f>
        <v>1010044</v>
      </c>
    </row>
    <row r="269" spans="2:8" x14ac:dyDescent="0.25">
      <c r="B269" s="35"/>
      <c r="C269" s="35"/>
      <c r="D269" s="35">
        <v>421</v>
      </c>
      <c r="E269" s="55" t="s">
        <v>43</v>
      </c>
      <c r="F269" s="69">
        <f>481250+497500+179000</f>
        <v>1157750</v>
      </c>
      <c r="G269" s="12"/>
      <c r="H269" s="12"/>
    </row>
    <row r="270" spans="2:8" x14ac:dyDescent="0.25">
      <c r="B270" s="62"/>
      <c r="C270" s="63"/>
      <c r="D270" s="63"/>
      <c r="E270" s="64" t="s">
        <v>44</v>
      </c>
      <c r="F270" s="65">
        <f>F272</f>
        <v>10000</v>
      </c>
      <c r="G270" s="65">
        <f>G272</f>
        <v>10000</v>
      </c>
      <c r="H270" s="65">
        <f>H272</f>
        <v>10000</v>
      </c>
    </row>
    <row r="271" spans="2:8" x14ac:dyDescent="0.25">
      <c r="B271" s="66"/>
      <c r="C271" s="39"/>
      <c r="D271" s="39"/>
      <c r="E271" s="38" t="s">
        <v>30</v>
      </c>
      <c r="F271" s="33"/>
      <c r="G271" s="33"/>
      <c r="H271" s="33"/>
    </row>
    <row r="272" spans="2:8" x14ac:dyDescent="0.25">
      <c r="B272" s="67">
        <v>3</v>
      </c>
      <c r="C272" s="67"/>
      <c r="D272" s="67"/>
      <c r="E272" s="67" t="s">
        <v>6</v>
      </c>
      <c r="F272" s="10">
        <f t="shared" ref="F272:H273" si="21">F273</f>
        <v>10000</v>
      </c>
      <c r="G272" s="10">
        <f t="shared" si="21"/>
        <v>10000</v>
      </c>
      <c r="H272" s="10">
        <f t="shared" si="21"/>
        <v>10000</v>
      </c>
    </row>
    <row r="273" spans="2:8" x14ac:dyDescent="0.25">
      <c r="B273" s="67"/>
      <c r="C273" s="67">
        <v>37</v>
      </c>
      <c r="D273" s="67"/>
      <c r="E273" s="67" t="s">
        <v>45</v>
      </c>
      <c r="F273" s="10">
        <f t="shared" si="21"/>
        <v>10000</v>
      </c>
      <c r="G273" s="10">
        <v>10000</v>
      </c>
      <c r="H273" s="10">
        <v>10000</v>
      </c>
    </row>
    <row r="274" spans="2:8" x14ac:dyDescent="0.25">
      <c r="B274" s="68"/>
      <c r="C274" s="35"/>
      <c r="D274" s="35">
        <v>372</v>
      </c>
      <c r="E274" s="35" t="s">
        <v>46</v>
      </c>
      <c r="F274" s="12">
        <v>10000</v>
      </c>
      <c r="G274" s="12"/>
      <c r="H274" s="12"/>
    </row>
    <row r="275" spans="2:8" ht="26.25" x14ac:dyDescent="0.25">
      <c r="B275" s="36"/>
      <c r="C275" s="36"/>
      <c r="D275" s="36"/>
      <c r="E275" s="48" t="s">
        <v>47</v>
      </c>
      <c r="F275" s="31">
        <f>F277</f>
        <v>111000</v>
      </c>
      <c r="G275" s="31">
        <f>G277</f>
        <v>170000</v>
      </c>
      <c r="H275" s="31">
        <f>H277</f>
        <v>20000</v>
      </c>
    </row>
    <row r="276" spans="2:8" x14ac:dyDescent="0.25">
      <c r="B276" s="36"/>
      <c r="C276" s="36"/>
      <c r="D276" s="36"/>
      <c r="E276" s="32" t="s">
        <v>193</v>
      </c>
      <c r="F276" s="33"/>
      <c r="G276" s="33"/>
      <c r="H276" s="33"/>
    </row>
    <row r="277" spans="2:8" x14ac:dyDescent="0.25">
      <c r="B277" s="34">
        <v>3</v>
      </c>
      <c r="C277" s="34"/>
      <c r="D277" s="34"/>
      <c r="E277" s="34" t="s">
        <v>6</v>
      </c>
      <c r="F277" s="10">
        <f>F278</f>
        <v>111000</v>
      </c>
      <c r="G277" s="10">
        <f t="shared" ref="G277:H277" si="22">G278</f>
        <v>170000</v>
      </c>
      <c r="H277" s="10">
        <f t="shared" si="22"/>
        <v>20000</v>
      </c>
    </row>
    <row r="278" spans="2:8" x14ac:dyDescent="0.25">
      <c r="B278" s="34"/>
      <c r="C278" s="34">
        <v>32</v>
      </c>
      <c r="D278" s="34"/>
      <c r="E278" s="34" t="s">
        <v>11</v>
      </c>
      <c r="F278" s="10">
        <f>F279+F280+F281</f>
        <v>111000</v>
      </c>
      <c r="G278" s="10">
        <v>170000</v>
      </c>
      <c r="H278" s="10">
        <v>20000</v>
      </c>
    </row>
    <row r="279" spans="2:8" x14ac:dyDescent="0.25">
      <c r="B279" s="35"/>
      <c r="C279" s="35"/>
      <c r="D279" s="35">
        <v>322</v>
      </c>
      <c r="E279" s="35" t="s">
        <v>22</v>
      </c>
      <c r="F279" s="12">
        <v>6000</v>
      </c>
      <c r="G279" s="12"/>
      <c r="H279" s="12"/>
    </row>
    <row r="280" spans="2:8" x14ac:dyDescent="0.25">
      <c r="B280" s="35"/>
      <c r="C280" s="35"/>
      <c r="D280" s="35">
        <v>323</v>
      </c>
      <c r="E280" s="35" t="s">
        <v>13</v>
      </c>
      <c r="F280" s="12">
        <f>16000+80000+20000-15000</f>
        <v>101000</v>
      </c>
      <c r="G280" s="12"/>
      <c r="H280" s="12"/>
    </row>
    <row r="281" spans="2:8" x14ac:dyDescent="0.25">
      <c r="B281" s="11"/>
      <c r="C281" s="11"/>
      <c r="D281" s="11">
        <v>329</v>
      </c>
      <c r="E281" s="14" t="s">
        <v>14</v>
      </c>
      <c r="F281" s="12">
        <v>4000</v>
      </c>
      <c r="G281" s="12"/>
      <c r="H281" s="12"/>
    </row>
    <row r="282" spans="2:8" x14ac:dyDescent="0.25">
      <c r="B282" s="36"/>
      <c r="C282" s="36"/>
      <c r="D282" s="36"/>
      <c r="E282" s="48" t="s">
        <v>48</v>
      </c>
      <c r="F282" s="31">
        <f>F284</f>
        <v>21356</v>
      </c>
      <c r="G282" s="31">
        <f>G284</f>
        <v>104000</v>
      </c>
      <c r="H282" s="31">
        <f t="shared" ref="H282" si="23">H284</f>
        <v>3000</v>
      </c>
    </row>
    <row r="283" spans="2:8" x14ac:dyDescent="0.25">
      <c r="B283" s="36"/>
      <c r="C283" s="36"/>
      <c r="D283" s="36"/>
      <c r="E283" s="32" t="s">
        <v>30</v>
      </c>
      <c r="F283" s="33"/>
      <c r="G283" s="33"/>
      <c r="H283" s="33"/>
    </row>
    <row r="284" spans="2:8" x14ac:dyDescent="0.25">
      <c r="B284" s="34">
        <v>3</v>
      </c>
      <c r="C284" s="34"/>
      <c r="D284" s="34"/>
      <c r="E284" s="34" t="s">
        <v>6</v>
      </c>
      <c r="F284" s="10">
        <f>F285</f>
        <v>21356</v>
      </c>
      <c r="G284" s="10">
        <f t="shared" ref="G284:H284" si="24">G285</f>
        <v>104000</v>
      </c>
      <c r="H284" s="10">
        <f t="shared" si="24"/>
        <v>3000</v>
      </c>
    </row>
    <row r="285" spans="2:8" x14ac:dyDescent="0.25">
      <c r="B285" s="34"/>
      <c r="C285" s="34">
        <v>32</v>
      </c>
      <c r="D285" s="34"/>
      <c r="E285" s="34" t="s">
        <v>11</v>
      </c>
      <c r="F285" s="10">
        <f>F286+F287+F288</f>
        <v>21356</v>
      </c>
      <c r="G285" s="10">
        <f>4000+100000</f>
        <v>104000</v>
      </c>
      <c r="H285" s="10">
        <v>3000</v>
      </c>
    </row>
    <row r="286" spans="2:8" x14ac:dyDescent="0.25">
      <c r="B286" s="54"/>
      <c r="C286" s="54"/>
      <c r="D286" s="35">
        <v>322</v>
      </c>
      <c r="E286" s="35" t="s">
        <v>22</v>
      </c>
      <c r="F286" s="12">
        <f>2500+4000</f>
        <v>6500</v>
      </c>
      <c r="G286" s="12"/>
      <c r="H286" s="12"/>
    </row>
    <row r="287" spans="2:8" x14ac:dyDescent="0.25">
      <c r="B287" s="11"/>
      <c r="C287" s="11"/>
      <c r="D287" s="11">
        <v>323</v>
      </c>
      <c r="E287" s="11" t="s">
        <v>13</v>
      </c>
      <c r="F287" s="69">
        <f>5856+5000</f>
        <v>10856</v>
      </c>
      <c r="G287" s="12"/>
      <c r="H287" s="12"/>
    </row>
    <row r="288" spans="2:8" x14ac:dyDescent="0.25">
      <c r="B288" s="11"/>
      <c r="C288" s="11"/>
      <c r="D288" s="11">
        <v>329</v>
      </c>
      <c r="E288" s="14" t="s">
        <v>14</v>
      </c>
      <c r="F288" s="12">
        <v>4000</v>
      </c>
      <c r="G288" s="12"/>
      <c r="H288" s="12"/>
    </row>
    <row r="289" spans="2:8" ht="26.25" x14ac:dyDescent="0.25">
      <c r="B289" s="70"/>
      <c r="C289" s="70"/>
      <c r="D289" s="70"/>
      <c r="E289" s="71" t="s">
        <v>120</v>
      </c>
      <c r="F289" s="72">
        <f>F291</f>
        <v>5000</v>
      </c>
      <c r="G289" s="72">
        <f>G291</f>
        <v>4000</v>
      </c>
      <c r="H289" s="72">
        <f>H291</f>
        <v>4000</v>
      </c>
    </row>
    <row r="290" spans="2:8" x14ac:dyDescent="0.25">
      <c r="B290" s="16"/>
      <c r="C290" s="16"/>
      <c r="D290" s="16"/>
      <c r="E290" s="78" t="s">
        <v>162</v>
      </c>
      <c r="F290" s="18"/>
      <c r="G290" s="18"/>
      <c r="H290" s="18"/>
    </row>
    <row r="291" spans="2:8" x14ac:dyDescent="0.25">
      <c r="B291" s="9">
        <v>3</v>
      </c>
      <c r="C291" s="9"/>
      <c r="D291" s="9"/>
      <c r="E291" s="15" t="s">
        <v>6</v>
      </c>
      <c r="F291" s="10">
        <f t="shared" ref="F291:H292" si="25">F292</f>
        <v>5000</v>
      </c>
      <c r="G291" s="10">
        <f t="shared" si="25"/>
        <v>4000</v>
      </c>
      <c r="H291" s="10">
        <f t="shared" si="25"/>
        <v>4000</v>
      </c>
    </row>
    <row r="292" spans="2:8" x14ac:dyDescent="0.25">
      <c r="B292" s="9"/>
      <c r="C292" s="9">
        <v>35</v>
      </c>
      <c r="D292" s="9"/>
      <c r="E292" s="15" t="s">
        <v>38</v>
      </c>
      <c r="F292" s="10">
        <f t="shared" si="25"/>
        <v>5000</v>
      </c>
      <c r="G292" s="10">
        <v>4000</v>
      </c>
      <c r="H292" s="10">
        <v>4000</v>
      </c>
    </row>
    <row r="293" spans="2:8" x14ac:dyDescent="0.25">
      <c r="B293" s="11"/>
      <c r="C293" s="11"/>
      <c r="D293" s="11">
        <v>352</v>
      </c>
      <c r="E293" s="14" t="s">
        <v>50</v>
      </c>
      <c r="F293" s="12">
        <v>5000</v>
      </c>
      <c r="G293" s="12"/>
      <c r="H293" s="12"/>
    </row>
    <row r="294" spans="2:8" x14ac:dyDescent="0.25">
      <c r="B294" s="51"/>
      <c r="C294" s="51"/>
      <c r="D294" s="51"/>
      <c r="E294" s="73" t="s">
        <v>121</v>
      </c>
      <c r="F294" s="74">
        <f>F296</f>
        <v>5000</v>
      </c>
      <c r="G294" s="74">
        <f>G296</f>
        <v>5000</v>
      </c>
      <c r="H294" s="74">
        <f>H296</f>
        <v>5000</v>
      </c>
    </row>
    <row r="295" spans="2:8" x14ac:dyDescent="0.25">
      <c r="B295" s="16"/>
      <c r="C295" s="16"/>
      <c r="D295" s="16"/>
      <c r="E295" s="78" t="s">
        <v>162</v>
      </c>
      <c r="F295" s="18"/>
      <c r="G295" s="18"/>
      <c r="H295" s="18"/>
    </row>
    <row r="296" spans="2:8" x14ac:dyDescent="0.25">
      <c r="B296" s="9">
        <v>3</v>
      </c>
      <c r="C296" s="9"/>
      <c r="D296" s="9"/>
      <c r="E296" s="15" t="s">
        <v>6</v>
      </c>
      <c r="F296" s="75">
        <f>F297</f>
        <v>5000</v>
      </c>
      <c r="G296" s="75">
        <f t="shared" ref="G296:H296" si="26">G297</f>
        <v>5000</v>
      </c>
      <c r="H296" s="75">
        <f t="shared" si="26"/>
        <v>5000</v>
      </c>
    </row>
    <row r="297" spans="2:8" x14ac:dyDescent="0.25">
      <c r="B297" s="9"/>
      <c r="C297" s="9">
        <v>32</v>
      </c>
      <c r="D297" s="9"/>
      <c r="E297" s="15" t="s">
        <v>11</v>
      </c>
      <c r="F297" s="10">
        <f>F298</f>
        <v>5000</v>
      </c>
      <c r="G297" s="10">
        <v>5000</v>
      </c>
      <c r="H297" s="10">
        <v>5000</v>
      </c>
    </row>
    <row r="298" spans="2:8" x14ac:dyDescent="0.25">
      <c r="B298" s="11"/>
      <c r="C298" s="11"/>
      <c r="D298" s="11">
        <v>323</v>
      </c>
      <c r="E298" s="11" t="s">
        <v>13</v>
      </c>
      <c r="F298" s="12">
        <v>5000</v>
      </c>
      <c r="G298" s="12"/>
      <c r="H298" s="12"/>
    </row>
    <row r="299" spans="2:8" ht="26.25" x14ac:dyDescent="0.25">
      <c r="B299" s="84"/>
      <c r="C299" s="84"/>
      <c r="D299" s="85"/>
      <c r="E299" s="86" t="s">
        <v>169</v>
      </c>
      <c r="F299" s="87">
        <f>F301</f>
        <v>60000</v>
      </c>
      <c r="G299" s="87">
        <f t="shared" ref="G299:H299" si="27">G301</f>
        <v>0</v>
      </c>
      <c r="H299" s="87">
        <f t="shared" si="27"/>
        <v>0</v>
      </c>
    </row>
    <row r="300" spans="2:8" x14ac:dyDescent="0.25">
      <c r="B300" s="88"/>
      <c r="C300" s="88"/>
      <c r="D300" s="89"/>
      <c r="E300" s="122" t="s">
        <v>194</v>
      </c>
      <c r="F300" s="90"/>
      <c r="G300" s="90"/>
      <c r="H300" s="90"/>
    </row>
    <row r="301" spans="2:8" x14ac:dyDescent="0.25">
      <c r="B301" s="91">
        <v>3</v>
      </c>
      <c r="C301" s="91"/>
      <c r="D301" s="91"/>
      <c r="E301" s="92" t="s">
        <v>6</v>
      </c>
      <c r="F301" s="93">
        <f>F302</f>
        <v>60000</v>
      </c>
      <c r="G301" s="93"/>
      <c r="H301" s="93"/>
    </row>
    <row r="302" spans="2:8" x14ac:dyDescent="0.25">
      <c r="B302" s="91"/>
      <c r="C302" s="91">
        <v>32</v>
      </c>
      <c r="D302" s="91"/>
      <c r="E302" s="92" t="s">
        <v>143</v>
      </c>
      <c r="F302" s="93">
        <f>F303</f>
        <v>60000</v>
      </c>
      <c r="G302" s="94"/>
      <c r="H302" s="94"/>
    </row>
    <row r="303" spans="2:8" x14ac:dyDescent="0.25">
      <c r="B303" s="95"/>
      <c r="C303" s="96"/>
      <c r="D303" s="96">
        <v>323</v>
      </c>
      <c r="E303" s="97" t="s">
        <v>13</v>
      </c>
      <c r="F303" s="98">
        <v>60000</v>
      </c>
      <c r="G303" s="98"/>
      <c r="H303" s="98"/>
    </row>
    <row r="304" spans="2:8" ht="26.25" x14ac:dyDescent="0.25">
      <c r="B304" s="84"/>
      <c r="C304" s="84"/>
      <c r="D304" s="85"/>
      <c r="E304" s="86" t="s">
        <v>148</v>
      </c>
      <c r="F304" s="87">
        <f>F306</f>
        <v>70000</v>
      </c>
      <c r="G304" s="87">
        <f t="shared" ref="G304:H304" si="28">G306</f>
        <v>0</v>
      </c>
      <c r="H304" s="87">
        <f t="shared" si="28"/>
        <v>0</v>
      </c>
    </row>
    <row r="305" spans="2:8" x14ac:dyDescent="0.25">
      <c r="B305" s="88"/>
      <c r="C305" s="88"/>
      <c r="D305" s="89"/>
      <c r="E305" s="122" t="s">
        <v>30</v>
      </c>
      <c r="F305" s="90"/>
      <c r="G305" s="90"/>
      <c r="H305" s="90"/>
    </row>
    <row r="306" spans="2:8" x14ac:dyDescent="0.25">
      <c r="B306" s="91">
        <v>3</v>
      </c>
      <c r="C306" s="91"/>
      <c r="D306" s="91"/>
      <c r="E306" s="92" t="s">
        <v>6</v>
      </c>
      <c r="F306" s="93">
        <f>F307</f>
        <v>70000</v>
      </c>
      <c r="G306" s="93"/>
      <c r="H306" s="93"/>
    </row>
    <row r="307" spans="2:8" x14ac:dyDescent="0.25">
      <c r="B307" s="91"/>
      <c r="C307" s="91">
        <v>32</v>
      </c>
      <c r="D307" s="91"/>
      <c r="E307" s="92" t="s">
        <v>143</v>
      </c>
      <c r="F307" s="93">
        <f>F308</f>
        <v>70000</v>
      </c>
      <c r="G307" s="94"/>
      <c r="H307" s="94"/>
    </row>
    <row r="308" spans="2:8" x14ac:dyDescent="0.25">
      <c r="B308" s="95"/>
      <c r="C308" s="96"/>
      <c r="D308" s="96">
        <v>323</v>
      </c>
      <c r="E308" s="97" t="s">
        <v>13</v>
      </c>
      <c r="F308" s="98">
        <v>70000</v>
      </c>
      <c r="G308" s="98"/>
      <c r="H308" s="98"/>
    </row>
    <row r="309" spans="2:8" ht="26.25" x14ac:dyDescent="0.25">
      <c r="B309" s="58"/>
      <c r="C309" s="58"/>
      <c r="D309" s="58"/>
      <c r="E309" s="59" t="s">
        <v>55</v>
      </c>
      <c r="F309" s="24">
        <f>F311</f>
        <v>443667</v>
      </c>
      <c r="G309" s="24">
        <f t="shared" ref="G309:H309" si="29">G311</f>
        <v>270878</v>
      </c>
      <c r="H309" s="24">
        <f t="shared" si="29"/>
        <v>468979.20000000001</v>
      </c>
    </row>
    <row r="310" spans="2:8" ht="26.25" x14ac:dyDescent="0.25">
      <c r="B310" s="58"/>
      <c r="C310" s="58"/>
      <c r="D310" s="58"/>
      <c r="E310" s="59" t="s">
        <v>56</v>
      </c>
      <c r="F310" s="24"/>
      <c r="G310" s="24"/>
      <c r="H310" s="24"/>
    </row>
    <row r="311" spans="2:8" ht="26.25" x14ac:dyDescent="0.25">
      <c r="B311" s="60"/>
      <c r="C311" s="60"/>
      <c r="D311" s="60"/>
      <c r="E311" s="61" t="s">
        <v>122</v>
      </c>
      <c r="F311" s="28">
        <f>F312+F318+F323+F333+F338+F343+F328</f>
        <v>443667</v>
      </c>
      <c r="G311" s="28">
        <f>G312+G318+G323+G333+G338+G343+G328</f>
        <v>270878</v>
      </c>
      <c r="H311" s="28">
        <f>H312+H318+H323+H333+H338+H343+H328</f>
        <v>468979.20000000001</v>
      </c>
    </row>
    <row r="312" spans="2:8" x14ac:dyDescent="0.25">
      <c r="B312" s="36"/>
      <c r="C312" s="36"/>
      <c r="D312" s="36"/>
      <c r="E312" s="30" t="s">
        <v>57</v>
      </c>
      <c r="F312" s="31">
        <f>F314</f>
        <v>140000</v>
      </c>
      <c r="G312" s="31">
        <f>G314</f>
        <v>150000</v>
      </c>
      <c r="H312" s="31">
        <f>H314</f>
        <v>100000</v>
      </c>
    </row>
    <row r="313" spans="2:8" x14ac:dyDescent="0.25">
      <c r="B313" s="36"/>
      <c r="C313" s="36"/>
      <c r="D313" s="36"/>
      <c r="E313" s="32" t="s">
        <v>192</v>
      </c>
      <c r="F313" s="33"/>
      <c r="G313" s="33"/>
      <c r="H313" s="33"/>
    </row>
    <row r="314" spans="2:8" x14ac:dyDescent="0.25">
      <c r="B314" s="34">
        <v>3</v>
      </c>
      <c r="C314" s="34"/>
      <c r="D314" s="34"/>
      <c r="E314" s="34" t="s">
        <v>6</v>
      </c>
      <c r="F314" s="10">
        <f>F315</f>
        <v>140000</v>
      </c>
      <c r="G314" s="10">
        <f t="shared" ref="G314:H314" si="30">G315</f>
        <v>150000</v>
      </c>
      <c r="H314" s="10">
        <f t="shared" si="30"/>
        <v>100000</v>
      </c>
    </row>
    <row r="315" spans="2:8" x14ac:dyDescent="0.25">
      <c r="B315" s="34"/>
      <c r="C315" s="34">
        <v>32</v>
      </c>
      <c r="D315" s="34"/>
      <c r="E315" s="34" t="s">
        <v>11</v>
      </c>
      <c r="F315" s="10">
        <f>F316+F317</f>
        <v>140000</v>
      </c>
      <c r="G315" s="10">
        <f>100000+50000</f>
        <v>150000</v>
      </c>
      <c r="H315" s="10">
        <v>100000</v>
      </c>
    </row>
    <row r="316" spans="2:8" x14ac:dyDescent="0.25">
      <c r="B316" s="35"/>
      <c r="C316" s="35"/>
      <c r="D316" s="35">
        <v>322</v>
      </c>
      <c r="E316" s="35" t="s">
        <v>22</v>
      </c>
      <c r="F316" s="12">
        <v>100000</v>
      </c>
      <c r="G316" s="12"/>
      <c r="H316" s="12"/>
    </row>
    <row r="317" spans="2:8" x14ac:dyDescent="0.25">
      <c r="B317" s="35"/>
      <c r="C317" s="35"/>
      <c r="D317" s="35">
        <v>323</v>
      </c>
      <c r="E317" s="35" t="s">
        <v>13</v>
      </c>
      <c r="F317" s="12">
        <v>40000</v>
      </c>
      <c r="G317" s="12"/>
      <c r="H317" s="12"/>
    </row>
    <row r="318" spans="2:8" x14ac:dyDescent="0.25">
      <c r="B318" s="36"/>
      <c r="C318" s="36"/>
      <c r="D318" s="36"/>
      <c r="E318" s="30" t="s">
        <v>58</v>
      </c>
      <c r="F318" s="31">
        <f>F320</f>
        <v>130079</v>
      </c>
      <c r="G318" s="31">
        <f>G320</f>
        <v>100000</v>
      </c>
      <c r="H318" s="31">
        <f>H320</f>
        <v>100000</v>
      </c>
    </row>
    <row r="319" spans="2:8" x14ac:dyDescent="0.25">
      <c r="B319" s="36"/>
      <c r="C319" s="36"/>
      <c r="D319" s="36"/>
      <c r="E319" s="32" t="s">
        <v>30</v>
      </c>
      <c r="F319" s="33"/>
      <c r="G319" s="33"/>
      <c r="H319" s="33"/>
    </row>
    <row r="320" spans="2:8" x14ac:dyDescent="0.25">
      <c r="B320" s="34">
        <v>3</v>
      </c>
      <c r="C320" s="34"/>
      <c r="D320" s="34"/>
      <c r="E320" s="34" t="s">
        <v>6</v>
      </c>
      <c r="F320" s="10">
        <f>F321</f>
        <v>130079</v>
      </c>
      <c r="G320" s="10">
        <f t="shared" ref="G320:H320" si="31">G321</f>
        <v>100000</v>
      </c>
      <c r="H320" s="10">
        <f t="shared" si="31"/>
        <v>100000</v>
      </c>
    </row>
    <row r="321" spans="2:8" x14ac:dyDescent="0.25">
      <c r="B321" s="34"/>
      <c r="C321" s="34">
        <v>32</v>
      </c>
      <c r="D321" s="34"/>
      <c r="E321" s="34" t="s">
        <v>11</v>
      </c>
      <c r="F321" s="10">
        <f>F322</f>
        <v>130079</v>
      </c>
      <c r="G321" s="10">
        <v>100000</v>
      </c>
      <c r="H321" s="10">
        <v>100000</v>
      </c>
    </row>
    <row r="322" spans="2:8" x14ac:dyDescent="0.25">
      <c r="B322" s="35"/>
      <c r="C322" s="35"/>
      <c r="D322" s="35">
        <v>323</v>
      </c>
      <c r="E322" s="35" t="s">
        <v>13</v>
      </c>
      <c r="F322" s="12">
        <f>12000+40000+3000+5000+10000+24000+1079+20000+15000</f>
        <v>130079</v>
      </c>
      <c r="G322" s="12"/>
      <c r="H322" s="12"/>
    </row>
    <row r="323" spans="2:8" x14ac:dyDescent="0.25">
      <c r="B323" s="36"/>
      <c r="C323" s="36"/>
      <c r="D323" s="36"/>
      <c r="E323" s="30" t="s">
        <v>163</v>
      </c>
      <c r="F323" s="31">
        <f>F325</f>
        <v>20000</v>
      </c>
      <c r="G323" s="31"/>
      <c r="H323" s="31"/>
    </row>
    <row r="324" spans="2:8" x14ac:dyDescent="0.25">
      <c r="B324" s="36"/>
      <c r="C324" s="36"/>
      <c r="D324" s="36"/>
      <c r="E324" s="32" t="s">
        <v>30</v>
      </c>
      <c r="F324" s="33"/>
      <c r="G324" s="33"/>
      <c r="H324" s="33"/>
    </row>
    <row r="325" spans="2:8" x14ac:dyDescent="0.25">
      <c r="B325" s="34">
        <v>4</v>
      </c>
      <c r="C325" s="34"/>
      <c r="D325" s="34"/>
      <c r="E325" s="34" t="s">
        <v>140</v>
      </c>
      <c r="F325" s="10">
        <f>F326</f>
        <v>20000</v>
      </c>
      <c r="G325" s="10"/>
      <c r="H325" s="10"/>
    </row>
    <row r="326" spans="2:8" x14ac:dyDescent="0.25">
      <c r="B326" s="34"/>
      <c r="C326" s="34">
        <v>42</v>
      </c>
      <c r="D326" s="34"/>
      <c r="E326" s="83" t="s">
        <v>41</v>
      </c>
      <c r="F326" s="10">
        <f>F327</f>
        <v>20000</v>
      </c>
      <c r="G326" s="12"/>
      <c r="H326" s="12"/>
    </row>
    <row r="327" spans="2:8" x14ac:dyDescent="0.25">
      <c r="B327" s="35"/>
      <c r="C327" s="35"/>
      <c r="D327" s="35">
        <v>422</v>
      </c>
      <c r="E327" s="35" t="s">
        <v>68</v>
      </c>
      <c r="F327" s="12">
        <v>20000</v>
      </c>
      <c r="G327" s="12"/>
      <c r="H327" s="12"/>
    </row>
    <row r="328" spans="2:8" x14ac:dyDescent="0.25">
      <c r="B328" s="39"/>
      <c r="C328" s="39"/>
      <c r="D328" s="39"/>
      <c r="E328" s="110" t="s">
        <v>164</v>
      </c>
      <c r="F328" s="111">
        <f>F330</f>
        <v>70000</v>
      </c>
      <c r="G328" s="111"/>
      <c r="H328" s="111"/>
    </row>
    <row r="329" spans="2:8" x14ac:dyDescent="0.25">
      <c r="B329" s="36"/>
      <c r="C329" s="36"/>
      <c r="D329" s="36"/>
      <c r="E329" s="32" t="s">
        <v>194</v>
      </c>
      <c r="F329" s="33"/>
      <c r="G329" s="33"/>
      <c r="H329" s="33"/>
    </row>
    <row r="330" spans="2:8" x14ac:dyDescent="0.25">
      <c r="B330" s="34">
        <v>4</v>
      </c>
      <c r="C330" s="34"/>
      <c r="D330" s="34"/>
      <c r="E330" s="34" t="s">
        <v>140</v>
      </c>
      <c r="F330" s="10">
        <f>F331</f>
        <v>70000</v>
      </c>
      <c r="G330" s="10"/>
      <c r="H330" s="10"/>
    </row>
    <row r="331" spans="2:8" x14ac:dyDescent="0.25">
      <c r="B331" s="34"/>
      <c r="C331" s="34">
        <v>42</v>
      </c>
      <c r="D331" s="34"/>
      <c r="E331" s="83" t="s">
        <v>41</v>
      </c>
      <c r="F331" s="10">
        <f>F332</f>
        <v>70000</v>
      </c>
      <c r="G331" s="12"/>
      <c r="H331" s="12"/>
    </row>
    <row r="332" spans="2:8" x14ac:dyDescent="0.25">
      <c r="B332" s="35"/>
      <c r="C332" s="35"/>
      <c r="D332" s="35">
        <v>422</v>
      </c>
      <c r="E332" s="35" t="s">
        <v>68</v>
      </c>
      <c r="F332" s="12">
        <v>70000</v>
      </c>
      <c r="G332" s="12"/>
      <c r="H332" s="12"/>
    </row>
    <row r="333" spans="2:8" ht="26.25" x14ac:dyDescent="0.25">
      <c r="B333" s="36"/>
      <c r="C333" s="36"/>
      <c r="D333" s="36"/>
      <c r="E333" s="48" t="s">
        <v>168</v>
      </c>
      <c r="F333" s="31">
        <f>F335</f>
        <v>8588</v>
      </c>
      <c r="G333" s="31">
        <f t="shared" ref="G333:H333" si="32">G335</f>
        <v>20878</v>
      </c>
      <c r="H333" s="31">
        <f t="shared" si="32"/>
        <v>19956</v>
      </c>
    </row>
    <row r="334" spans="2:8" x14ac:dyDescent="0.25">
      <c r="B334" s="36"/>
      <c r="C334" s="36"/>
      <c r="D334" s="36"/>
      <c r="E334" s="32" t="s">
        <v>30</v>
      </c>
      <c r="F334" s="33"/>
      <c r="G334" s="33"/>
      <c r="H334" s="33"/>
    </row>
    <row r="335" spans="2:8" x14ac:dyDescent="0.25">
      <c r="B335" s="34">
        <v>4</v>
      </c>
      <c r="C335" s="34"/>
      <c r="D335" s="34"/>
      <c r="E335" s="34" t="s">
        <v>140</v>
      </c>
      <c r="F335" s="10">
        <f>F336</f>
        <v>8588</v>
      </c>
      <c r="G335" s="10">
        <f t="shared" ref="G335:H335" si="33">G336</f>
        <v>20878</v>
      </c>
      <c r="H335" s="10">
        <f t="shared" si="33"/>
        <v>19956</v>
      </c>
    </row>
    <row r="336" spans="2:8" ht="26.25" x14ac:dyDescent="0.25">
      <c r="B336" s="34"/>
      <c r="C336" s="34">
        <v>42</v>
      </c>
      <c r="D336" s="34"/>
      <c r="E336" s="45" t="s">
        <v>41</v>
      </c>
      <c r="F336" s="10">
        <f>F337</f>
        <v>8588</v>
      </c>
      <c r="G336" s="10">
        <v>20878</v>
      </c>
      <c r="H336" s="10">
        <v>19956</v>
      </c>
    </row>
    <row r="337" spans="2:8" x14ac:dyDescent="0.25">
      <c r="B337" s="35"/>
      <c r="C337" s="35"/>
      <c r="D337" s="35">
        <v>421</v>
      </c>
      <c r="E337" s="35" t="s">
        <v>52</v>
      </c>
      <c r="F337" s="12">
        <v>8588</v>
      </c>
      <c r="G337" s="12"/>
      <c r="H337" s="12"/>
    </row>
    <row r="338" spans="2:8" ht="26.25" x14ac:dyDescent="0.25">
      <c r="B338" s="36"/>
      <c r="C338" s="36"/>
      <c r="D338" s="36"/>
      <c r="E338" s="48" t="s">
        <v>141</v>
      </c>
      <c r="F338" s="31">
        <f>F340</f>
        <v>25000</v>
      </c>
      <c r="G338" s="31">
        <f t="shared" ref="G338:H338" si="34">G340</f>
        <v>0</v>
      </c>
      <c r="H338" s="31">
        <f t="shared" si="34"/>
        <v>0</v>
      </c>
    </row>
    <row r="339" spans="2:8" x14ac:dyDescent="0.25">
      <c r="B339" s="36"/>
      <c r="C339" s="36"/>
      <c r="D339" s="36"/>
      <c r="E339" s="32" t="s">
        <v>30</v>
      </c>
      <c r="F339" s="33"/>
      <c r="G339" s="33"/>
      <c r="H339" s="33"/>
    </row>
    <row r="340" spans="2:8" x14ac:dyDescent="0.25">
      <c r="B340" s="34">
        <v>3</v>
      </c>
      <c r="C340" s="34"/>
      <c r="D340" s="34"/>
      <c r="E340" s="34" t="s">
        <v>6</v>
      </c>
      <c r="F340" s="10">
        <f>F341</f>
        <v>25000</v>
      </c>
      <c r="G340" s="10"/>
      <c r="H340" s="10"/>
    </row>
    <row r="341" spans="2:8" x14ac:dyDescent="0.25">
      <c r="B341" s="34"/>
      <c r="C341" s="34">
        <v>32</v>
      </c>
      <c r="D341" s="34"/>
      <c r="E341" s="34" t="s">
        <v>11</v>
      </c>
      <c r="F341" s="10">
        <f>F342</f>
        <v>25000</v>
      </c>
      <c r="G341" s="10"/>
      <c r="H341" s="10"/>
    </row>
    <row r="342" spans="2:8" x14ac:dyDescent="0.25">
      <c r="B342" s="35"/>
      <c r="C342" s="35"/>
      <c r="D342" s="35">
        <v>323</v>
      </c>
      <c r="E342" s="35" t="s">
        <v>13</v>
      </c>
      <c r="F342" s="12">
        <v>25000</v>
      </c>
      <c r="G342" s="12"/>
      <c r="H342" s="12"/>
    </row>
    <row r="343" spans="2:8" ht="26.25" x14ac:dyDescent="0.25">
      <c r="B343" s="36"/>
      <c r="C343" s="36"/>
      <c r="D343" s="36"/>
      <c r="E343" s="48" t="s">
        <v>142</v>
      </c>
      <c r="F343" s="31">
        <f>F345</f>
        <v>50000</v>
      </c>
      <c r="G343" s="31">
        <f t="shared" ref="G343:H343" si="35">G345</f>
        <v>0</v>
      </c>
      <c r="H343" s="31">
        <f t="shared" si="35"/>
        <v>249023.2</v>
      </c>
    </row>
    <row r="344" spans="2:8" x14ac:dyDescent="0.25">
      <c r="B344" s="36"/>
      <c r="C344" s="36"/>
      <c r="D344" s="36"/>
      <c r="E344" s="32" t="s">
        <v>30</v>
      </c>
      <c r="F344" s="33"/>
      <c r="G344" s="33"/>
      <c r="H344" s="33"/>
    </row>
    <row r="345" spans="2:8" x14ac:dyDescent="0.25">
      <c r="B345" s="34">
        <v>3</v>
      </c>
      <c r="C345" s="34"/>
      <c r="D345" s="34"/>
      <c r="E345" s="34" t="s">
        <v>6</v>
      </c>
      <c r="F345" s="10">
        <f>F346</f>
        <v>50000</v>
      </c>
      <c r="G345" s="10">
        <f t="shared" ref="G345:H346" si="36">G346</f>
        <v>0</v>
      </c>
      <c r="H345" s="10">
        <f t="shared" si="36"/>
        <v>249023.2</v>
      </c>
    </row>
    <row r="346" spans="2:8" x14ac:dyDescent="0.25">
      <c r="B346" s="34"/>
      <c r="C346" s="34">
        <v>32</v>
      </c>
      <c r="D346" s="34"/>
      <c r="E346" s="34" t="s">
        <v>11</v>
      </c>
      <c r="F346" s="10">
        <f>F347</f>
        <v>50000</v>
      </c>
      <c r="G346" s="10">
        <f t="shared" si="36"/>
        <v>0</v>
      </c>
      <c r="H346" s="10">
        <v>249023.2</v>
      </c>
    </row>
    <row r="347" spans="2:8" x14ac:dyDescent="0.25">
      <c r="B347" s="35"/>
      <c r="C347" s="35"/>
      <c r="D347" s="35">
        <v>323</v>
      </c>
      <c r="E347" s="35" t="s">
        <v>13</v>
      </c>
      <c r="F347" s="12">
        <v>50000</v>
      </c>
      <c r="G347" s="12"/>
      <c r="H347" s="12"/>
    </row>
    <row r="348" spans="2:8" ht="26.25" x14ac:dyDescent="0.25">
      <c r="B348" s="58"/>
      <c r="C348" s="58"/>
      <c r="D348" s="58"/>
      <c r="E348" s="59" t="s">
        <v>59</v>
      </c>
      <c r="F348" s="24">
        <f>F350</f>
        <v>328000</v>
      </c>
      <c r="G348" s="24">
        <f t="shared" ref="G348:H348" si="37">G350</f>
        <v>116400</v>
      </c>
      <c r="H348" s="24">
        <f t="shared" si="37"/>
        <v>119400</v>
      </c>
    </row>
    <row r="349" spans="2:8" ht="26.25" x14ac:dyDescent="0.25">
      <c r="B349" s="58"/>
      <c r="C349" s="58"/>
      <c r="D349" s="58"/>
      <c r="E349" s="59" t="s">
        <v>60</v>
      </c>
      <c r="F349" s="24"/>
      <c r="G349" s="24"/>
      <c r="H349" s="24"/>
    </row>
    <row r="350" spans="2:8" ht="39" x14ac:dyDescent="0.25">
      <c r="B350" s="60"/>
      <c r="C350" s="60"/>
      <c r="D350" s="60"/>
      <c r="E350" s="61" t="s">
        <v>61</v>
      </c>
      <c r="F350" s="28">
        <f>F351+F356+F366+F361+F371+F379</f>
        <v>328000</v>
      </c>
      <c r="G350" s="28">
        <f>G351+G356+G366+G361+G371+G379</f>
        <v>116400</v>
      </c>
      <c r="H350" s="28">
        <f>H351+H356+H366+H361+H371+H379</f>
        <v>119400</v>
      </c>
    </row>
    <row r="351" spans="2:8" x14ac:dyDescent="0.25">
      <c r="B351" s="36"/>
      <c r="C351" s="36"/>
      <c r="D351" s="36"/>
      <c r="E351" s="48" t="s">
        <v>62</v>
      </c>
      <c r="F351" s="31">
        <f>F353</f>
        <v>109000</v>
      </c>
      <c r="G351" s="31">
        <f>G353</f>
        <v>70000</v>
      </c>
      <c r="H351" s="31">
        <f>H353</f>
        <v>72000</v>
      </c>
    </row>
    <row r="352" spans="2:8" x14ac:dyDescent="0.25">
      <c r="B352" s="36"/>
      <c r="C352" s="36"/>
      <c r="D352" s="36"/>
      <c r="E352" s="32" t="s">
        <v>30</v>
      </c>
      <c r="F352" s="33"/>
      <c r="G352" s="33"/>
      <c r="H352" s="33"/>
    </row>
    <row r="353" spans="2:8" x14ac:dyDescent="0.25">
      <c r="B353" s="34">
        <v>3</v>
      </c>
      <c r="C353" s="34"/>
      <c r="D353" s="34"/>
      <c r="E353" s="34" t="s">
        <v>6</v>
      </c>
      <c r="F353" s="10">
        <f>F354</f>
        <v>109000</v>
      </c>
      <c r="G353" s="10">
        <f t="shared" ref="G353:H353" si="38">G354</f>
        <v>70000</v>
      </c>
      <c r="H353" s="10">
        <f t="shared" si="38"/>
        <v>72000</v>
      </c>
    </row>
    <row r="354" spans="2:8" x14ac:dyDescent="0.25">
      <c r="B354" s="34"/>
      <c r="C354" s="34">
        <v>38</v>
      </c>
      <c r="D354" s="34"/>
      <c r="E354" s="34" t="s">
        <v>15</v>
      </c>
      <c r="F354" s="10">
        <f>F355</f>
        <v>109000</v>
      </c>
      <c r="G354" s="10">
        <v>70000</v>
      </c>
      <c r="H354" s="10">
        <v>72000</v>
      </c>
    </row>
    <row r="355" spans="2:8" x14ac:dyDescent="0.25">
      <c r="B355" s="35"/>
      <c r="C355" s="35"/>
      <c r="D355" s="35">
        <v>381</v>
      </c>
      <c r="E355" s="35" t="s">
        <v>31</v>
      </c>
      <c r="F355" s="12">
        <f>40000+17000+20000+6600+10400+15000</f>
        <v>109000</v>
      </c>
      <c r="G355" s="12"/>
      <c r="H355" s="12"/>
    </row>
    <row r="356" spans="2:8" x14ac:dyDescent="0.25">
      <c r="B356" s="36"/>
      <c r="C356" s="36"/>
      <c r="D356" s="36"/>
      <c r="E356" s="48" t="s">
        <v>123</v>
      </c>
      <c r="F356" s="31">
        <f>F358</f>
        <v>29000</v>
      </c>
      <c r="G356" s="31">
        <f>G358</f>
        <v>26400</v>
      </c>
      <c r="H356" s="31">
        <f>H358</f>
        <v>27400</v>
      </c>
    </row>
    <row r="357" spans="2:8" x14ac:dyDescent="0.25">
      <c r="B357" s="36"/>
      <c r="C357" s="36"/>
      <c r="D357" s="36"/>
      <c r="E357" s="32" t="s">
        <v>30</v>
      </c>
      <c r="F357" s="33"/>
      <c r="G357" s="33"/>
      <c r="H357" s="33"/>
    </row>
    <row r="358" spans="2:8" x14ac:dyDescent="0.25">
      <c r="B358" s="34">
        <v>3</v>
      </c>
      <c r="C358" s="34"/>
      <c r="D358" s="34"/>
      <c r="E358" s="34" t="s">
        <v>6</v>
      </c>
      <c r="F358" s="10">
        <f>F359</f>
        <v>29000</v>
      </c>
      <c r="G358" s="10">
        <f t="shared" ref="G358:H358" si="39">G359</f>
        <v>26400</v>
      </c>
      <c r="H358" s="10">
        <f t="shared" si="39"/>
        <v>27400</v>
      </c>
    </row>
    <row r="359" spans="2:8" x14ac:dyDescent="0.25">
      <c r="B359" s="34"/>
      <c r="C359" s="34">
        <v>38</v>
      </c>
      <c r="D359" s="34"/>
      <c r="E359" s="34" t="s">
        <v>15</v>
      </c>
      <c r="F359" s="10">
        <f>F360</f>
        <v>29000</v>
      </c>
      <c r="G359" s="10">
        <v>26400</v>
      </c>
      <c r="H359" s="10">
        <v>27400</v>
      </c>
    </row>
    <row r="360" spans="2:8" x14ac:dyDescent="0.25">
      <c r="B360" s="35"/>
      <c r="C360" s="35"/>
      <c r="D360" s="35">
        <v>381</v>
      </c>
      <c r="E360" s="35" t="s">
        <v>31</v>
      </c>
      <c r="F360" s="12">
        <f>20000+4000+5000</f>
        <v>29000</v>
      </c>
      <c r="G360" s="12"/>
      <c r="H360" s="12"/>
    </row>
    <row r="361" spans="2:8" x14ac:dyDescent="0.25">
      <c r="B361" s="36"/>
      <c r="C361" s="36"/>
      <c r="D361" s="36"/>
      <c r="E361" s="76" t="s">
        <v>124</v>
      </c>
      <c r="F361" s="74">
        <f>F363</f>
        <v>7000</v>
      </c>
      <c r="G361" s="74">
        <f>G363</f>
        <v>7000</v>
      </c>
      <c r="H361" s="74">
        <f>H363</f>
        <v>7000</v>
      </c>
    </row>
    <row r="362" spans="2:8" x14ac:dyDescent="0.25">
      <c r="B362" s="39"/>
      <c r="C362" s="39"/>
      <c r="D362" s="39"/>
      <c r="E362" s="32" t="s">
        <v>30</v>
      </c>
      <c r="F362" s="18"/>
      <c r="G362" s="18"/>
      <c r="H362" s="18"/>
    </row>
    <row r="363" spans="2:8" x14ac:dyDescent="0.25">
      <c r="B363" s="34">
        <v>3</v>
      </c>
      <c r="C363" s="34"/>
      <c r="D363" s="34"/>
      <c r="E363" s="34" t="s">
        <v>6</v>
      </c>
      <c r="F363" s="10">
        <f t="shared" ref="F363:H364" si="40">F364</f>
        <v>7000</v>
      </c>
      <c r="G363" s="10">
        <f t="shared" si="40"/>
        <v>7000</v>
      </c>
      <c r="H363" s="10">
        <f t="shared" si="40"/>
        <v>7000</v>
      </c>
    </row>
    <row r="364" spans="2:8" x14ac:dyDescent="0.25">
      <c r="B364" s="35"/>
      <c r="C364" s="34">
        <v>32</v>
      </c>
      <c r="D364" s="35"/>
      <c r="E364" s="34" t="s">
        <v>11</v>
      </c>
      <c r="F364" s="10">
        <f t="shared" si="40"/>
        <v>7000</v>
      </c>
      <c r="G364" s="10">
        <v>7000</v>
      </c>
      <c r="H364" s="10">
        <v>7000</v>
      </c>
    </row>
    <row r="365" spans="2:8" x14ac:dyDescent="0.25">
      <c r="B365" s="35"/>
      <c r="C365" s="35"/>
      <c r="D365" s="35">
        <v>323</v>
      </c>
      <c r="E365" s="35" t="s">
        <v>13</v>
      </c>
      <c r="F365" s="12">
        <v>7000</v>
      </c>
      <c r="G365" s="12"/>
      <c r="H365" s="12"/>
    </row>
    <row r="366" spans="2:8" x14ac:dyDescent="0.25">
      <c r="B366" s="36"/>
      <c r="C366" s="36"/>
      <c r="D366" s="36"/>
      <c r="E366" s="48" t="s">
        <v>63</v>
      </c>
      <c r="F366" s="31">
        <f>F368</f>
        <v>13000</v>
      </c>
      <c r="G366" s="31">
        <f>G368</f>
        <v>13000</v>
      </c>
      <c r="H366" s="31">
        <f>H368</f>
        <v>13000</v>
      </c>
    </row>
    <row r="367" spans="2:8" x14ac:dyDescent="0.25">
      <c r="B367" s="36"/>
      <c r="C367" s="36"/>
      <c r="D367" s="36"/>
      <c r="E367" s="32" t="s">
        <v>30</v>
      </c>
      <c r="F367" s="33"/>
      <c r="G367" s="33"/>
      <c r="H367" s="33"/>
    </row>
    <row r="368" spans="2:8" x14ac:dyDescent="0.25">
      <c r="B368" s="34">
        <v>3</v>
      </c>
      <c r="C368" s="34"/>
      <c r="D368" s="34"/>
      <c r="E368" s="34" t="s">
        <v>6</v>
      </c>
      <c r="F368" s="10">
        <f>F369</f>
        <v>13000</v>
      </c>
      <c r="G368" s="10">
        <f t="shared" ref="G368:H368" si="41">G369</f>
        <v>13000</v>
      </c>
      <c r="H368" s="10">
        <f t="shared" si="41"/>
        <v>13000</v>
      </c>
    </row>
    <row r="369" spans="1:9" x14ac:dyDescent="0.25">
      <c r="B369" s="34"/>
      <c r="C369" s="34">
        <v>38</v>
      </c>
      <c r="D369" s="34"/>
      <c r="E369" s="34" t="s">
        <v>15</v>
      </c>
      <c r="F369" s="10">
        <f>F370</f>
        <v>13000</v>
      </c>
      <c r="G369" s="10">
        <v>13000</v>
      </c>
      <c r="H369" s="10">
        <v>13000</v>
      </c>
    </row>
    <row r="370" spans="1:9" x14ac:dyDescent="0.25">
      <c r="B370" s="35"/>
      <c r="C370" s="35"/>
      <c r="D370" s="35">
        <v>381</v>
      </c>
      <c r="E370" s="35" t="s">
        <v>31</v>
      </c>
      <c r="F370" s="12">
        <f>10000+3000</f>
        <v>13000</v>
      </c>
      <c r="G370" s="12"/>
      <c r="H370" s="12"/>
    </row>
    <row r="371" spans="1:9" x14ac:dyDescent="0.25">
      <c r="B371" s="36"/>
      <c r="C371" s="36"/>
      <c r="D371" s="36"/>
      <c r="E371" s="105" t="s">
        <v>165</v>
      </c>
      <c r="F371" s="74">
        <f>F376</f>
        <v>140000</v>
      </c>
      <c r="G371" s="74">
        <f>G376</f>
        <v>0</v>
      </c>
      <c r="H371" s="74">
        <f>H376</f>
        <v>0</v>
      </c>
    </row>
    <row r="372" spans="1:9" x14ac:dyDescent="0.25">
      <c r="B372" s="39"/>
      <c r="C372" s="39"/>
      <c r="D372" s="39"/>
      <c r="E372" s="131" t="s">
        <v>194</v>
      </c>
      <c r="F372" s="18"/>
      <c r="G372" s="18"/>
      <c r="H372" s="18"/>
    </row>
    <row r="373" spans="1:9" s="128" customFormat="1" x14ac:dyDescent="0.25">
      <c r="A373" s="153"/>
      <c r="B373" s="34">
        <v>3</v>
      </c>
      <c r="C373" s="34"/>
      <c r="D373" s="34"/>
      <c r="E373" s="34" t="s">
        <v>6</v>
      </c>
      <c r="F373" s="10"/>
      <c r="G373" s="10"/>
      <c r="H373" s="10"/>
    </row>
    <row r="374" spans="1:9" s="128" customFormat="1" x14ac:dyDescent="0.25">
      <c r="A374" s="153"/>
      <c r="B374" s="34"/>
      <c r="C374" s="34">
        <v>32</v>
      </c>
      <c r="D374" s="34"/>
      <c r="E374" s="34" t="s">
        <v>11</v>
      </c>
      <c r="F374" s="10"/>
      <c r="G374" s="10"/>
      <c r="H374" s="10"/>
    </row>
    <row r="375" spans="1:9" x14ac:dyDescent="0.25">
      <c r="B375" s="35"/>
      <c r="C375" s="35"/>
      <c r="D375" s="35">
        <v>323</v>
      </c>
      <c r="E375" s="35" t="s">
        <v>13</v>
      </c>
      <c r="F375" s="12"/>
      <c r="G375" s="12"/>
      <c r="H375" s="12"/>
    </row>
    <row r="376" spans="1:9" x14ac:dyDescent="0.25">
      <c r="B376" s="34">
        <v>4</v>
      </c>
      <c r="C376" s="34"/>
      <c r="D376" s="34"/>
      <c r="E376" s="34" t="s">
        <v>198</v>
      </c>
      <c r="F376" s="10">
        <f t="shared" ref="F376:H376" si="42">F377</f>
        <v>140000</v>
      </c>
      <c r="G376" s="10">
        <f t="shared" si="42"/>
        <v>0</v>
      </c>
      <c r="H376" s="10">
        <f t="shared" si="42"/>
        <v>0</v>
      </c>
    </row>
    <row r="377" spans="1:9" ht="23.25" x14ac:dyDescent="0.25">
      <c r="B377" s="35"/>
      <c r="C377" s="34">
        <v>42</v>
      </c>
      <c r="D377" s="35"/>
      <c r="E377" s="129" t="s">
        <v>41</v>
      </c>
      <c r="F377" s="10">
        <f>F378</f>
        <v>140000</v>
      </c>
      <c r="G377" s="12"/>
      <c r="H377" s="12"/>
    </row>
    <row r="378" spans="1:9" x14ac:dyDescent="0.25">
      <c r="B378" s="35"/>
      <c r="C378" s="35"/>
      <c r="D378" s="35">
        <v>422</v>
      </c>
      <c r="E378" s="35" t="s">
        <v>68</v>
      </c>
      <c r="F378" s="12">
        <v>140000</v>
      </c>
      <c r="G378" s="12"/>
      <c r="H378" s="12"/>
    </row>
    <row r="379" spans="1:9" s="128" customFormat="1" ht="23.25" x14ac:dyDescent="0.25">
      <c r="A379" s="153"/>
      <c r="B379" s="142"/>
      <c r="C379" s="140"/>
      <c r="D379" s="144"/>
      <c r="E379" s="130" t="s">
        <v>197</v>
      </c>
      <c r="F379" s="74">
        <f>F381+F385</f>
        <v>30000</v>
      </c>
      <c r="G379" s="74">
        <f t="shared" ref="G379:H379" si="43">G381+G385</f>
        <v>0</v>
      </c>
      <c r="H379" s="74">
        <f t="shared" si="43"/>
        <v>0</v>
      </c>
    </row>
    <row r="380" spans="1:9" x14ac:dyDescent="0.25">
      <c r="B380" s="143"/>
      <c r="C380" s="145"/>
      <c r="D380" s="141"/>
      <c r="E380" s="32" t="s">
        <v>30</v>
      </c>
      <c r="F380" s="146"/>
      <c r="G380" s="147"/>
      <c r="H380" s="147"/>
      <c r="I380" s="138"/>
    </row>
    <row r="381" spans="1:9" s="128" customFormat="1" x14ac:dyDescent="0.25">
      <c r="A381" s="153"/>
      <c r="B381" s="34">
        <v>3</v>
      </c>
      <c r="C381" s="34"/>
      <c r="D381" s="34"/>
      <c r="E381" s="34" t="s">
        <v>6</v>
      </c>
      <c r="F381" s="10">
        <f>F382</f>
        <v>10000</v>
      </c>
      <c r="G381" s="10">
        <f t="shared" ref="G381:H381" si="44">G382</f>
        <v>0</v>
      </c>
      <c r="H381" s="10">
        <f t="shared" si="44"/>
        <v>0</v>
      </c>
    </row>
    <row r="382" spans="1:9" s="128" customFormat="1" x14ac:dyDescent="0.25">
      <c r="A382" s="153"/>
      <c r="B382" s="34"/>
      <c r="C382" s="34">
        <v>32</v>
      </c>
      <c r="D382" s="34"/>
      <c r="E382" s="34" t="s">
        <v>11</v>
      </c>
      <c r="F382" s="10">
        <f>F384+F383</f>
        <v>10000</v>
      </c>
      <c r="G382" s="10">
        <f>G384</f>
        <v>0</v>
      </c>
      <c r="H382" s="10">
        <f>H384</f>
        <v>0</v>
      </c>
    </row>
    <row r="383" spans="1:9" s="2" customFormat="1" x14ac:dyDescent="0.25">
      <c r="A383" s="149"/>
      <c r="B383" s="35"/>
      <c r="C383" s="35"/>
      <c r="D383" s="35">
        <v>322</v>
      </c>
      <c r="E383" s="35" t="s">
        <v>167</v>
      </c>
      <c r="F383" s="12">
        <v>5000</v>
      </c>
      <c r="G383" s="12"/>
      <c r="H383" s="12"/>
    </row>
    <row r="384" spans="1:9" x14ac:dyDescent="0.25">
      <c r="B384" s="35"/>
      <c r="C384" s="35"/>
      <c r="D384" s="35">
        <v>323</v>
      </c>
      <c r="E384" s="35" t="s">
        <v>13</v>
      </c>
      <c r="F384" s="12">
        <v>5000</v>
      </c>
      <c r="G384" s="12"/>
      <c r="H384" s="12"/>
    </row>
    <row r="385" spans="1:8" s="128" customFormat="1" x14ac:dyDescent="0.25">
      <c r="A385" s="153"/>
      <c r="B385" s="34">
        <v>4</v>
      </c>
      <c r="C385" s="34"/>
      <c r="D385" s="34"/>
      <c r="E385" s="34" t="s">
        <v>198</v>
      </c>
      <c r="F385" s="10">
        <f>F386</f>
        <v>20000</v>
      </c>
      <c r="G385" s="10">
        <f t="shared" ref="G385:H385" si="45">G386</f>
        <v>0</v>
      </c>
      <c r="H385" s="10">
        <f t="shared" si="45"/>
        <v>0</v>
      </c>
    </row>
    <row r="386" spans="1:8" s="128" customFormat="1" ht="23.25" x14ac:dyDescent="0.25">
      <c r="A386" s="153"/>
      <c r="B386" s="34"/>
      <c r="C386" s="34">
        <v>42</v>
      </c>
      <c r="D386" s="34"/>
      <c r="E386" s="129" t="s">
        <v>41</v>
      </c>
      <c r="F386" s="10">
        <f>F387</f>
        <v>20000</v>
      </c>
      <c r="G386" s="10">
        <f t="shared" ref="G386:H386" si="46">G387</f>
        <v>0</v>
      </c>
      <c r="H386" s="10">
        <f t="shared" si="46"/>
        <v>0</v>
      </c>
    </row>
    <row r="387" spans="1:8" x14ac:dyDescent="0.25">
      <c r="B387" s="35"/>
      <c r="C387" s="35"/>
      <c r="D387" s="35">
        <v>422</v>
      </c>
      <c r="E387" s="35" t="s">
        <v>68</v>
      </c>
      <c r="F387" s="12">
        <v>20000</v>
      </c>
      <c r="G387" s="12"/>
      <c r="H387" s="12"/>
    </row>
    <row r="388" spans="1:8" ht="26.25" x14ac:dyDescent="0.25">
      <c r="B388" s="58"/>
      <c r="C388" s="58"/>
      <c r="D388" s="58"/>
      <c r="E388" s="59" t="s">
        <v>64</v>
      </c>
      <c r="F388" s="24">
        <f>F390</f>
        <v>1230278</v>
      </c>
      <c r="G388" s="24">
        <f>G390</f>
        <v>1117846</v>
      </c>
      <c r="H388" s="24">
        <f>H390</f>
        <v>1114846</v>
      </c>
    </row>
    <row r="389" spans="1:8" ht="26.25" x14ac:dyDescent="0.25">
      <c r="B389" s="58"/>
      <c r="C389" s="58"/>
      <c r="D389" s="58"/>
      <c r="E389" s="59" t="s">
        <v>65</v>
      </c>
      <c r="F389" s="24"/>
      <c r="G389" s="24"/>
      <c r="H389" s="24"/>
    </row>
    <row r="390" spans="1:8" x14ac:dyDescent="0.25">
      <c r="B390" s="60"/>
      <c r="C390" s="60"/>
      <c r="D390" s="60"/>
      <c r="E390" s="60" t="s">
        <v>66</v>
      </c>
      <c r="F390" s="28">
        <f>F391+F407+F415+F422+F401</f>
        <v>1230278</v>
      </c>
      <c r="G390" s="28">
        <f>G391+G407+G415+G422+G401</f>
        <v>1117846</v>
      </c>
      <c r="H390" s="28">
        <f t="shared" ref="H390" si="47">H391+H407+H415+H422+H401</f>
        <v>1114846</v>
      </c>
    </row>
    <row r="391" spans="1:8" ht="26.25" x14ac:dyDescent="0.25">
      <c r="B391" s="51"/>
      <c r="C391" s="51"/>
      <c r="D391" s="51"/>
      <c r="E391" s="48" t="s">
        <v>125</v>
      </c>
      <c r="F391" s="77">
        <f>F394</f>
        <v>654112</v>
      </c>
      <c r="G391" s="77">
        <f>G394</f>
        <v>654112</v>
      </c>
      <c r="H391" s="77">
        <f>H394</f>
        <v>654112</v>
      </c>
    </row>
    <row r="392" spans="1:8" ht="23.25" x14ac:dyDescent="0.25">
      <c r="B392" s="51"/>
      <c r="C392" s="51"/>
      <c r="D392" s="51"/>
      <c r="E392" s="78" t="s">
        <v>67</v>
      </c>
      <c r="F392" s="33"/>
      <c r="G392" s="33"/>
      <c r="H392" s="33"/>
    </row>
    <row r="393" spans="1:8" x14ac:dyDescent="0.25">
      <c r="B393" s="51"/>
      <c r="C393" s="51"/>
      <c r="D393" s="51"/>
      <c r="E393" s="32" t="s">
        <v>30</v>
      </c>
      <c r="F393" s="33"/>
      <c r="G393" s="33"/>
      <c r="H393" s="33"/>
    </row>
    <row r="394" spans="1:8" x14ac:dyDescent="0.25">
      <c r="B394" s="9">
        <v>3</v>
      </c>
      <c r="C394" s="9"/>
      <c r="D394" s="9"/>
      <c r="E394" s="9" t="s">
        <v>6</v>
      </c>
      <c r="F394" s="10">
        <f>F395+F399</f>
        <v>654112</v>
      </c>
      <c r="G394" s="10">
        <f>G395+G399</f>
        <v>654112</v>
      </c>
      <c r="H394" s="10">
        <f>H395+H399</f>
        <v>654112</v>
      </c>
    </row>
    <row r="395" spans="1:8" x14ac:dyDescent="0.25">
      <c r="B395" s="9"/>
      <c r="C395" s="9">
        <v>31</v>
      </c>
      <c r="D395" s="9"/>
      <c r="E395" s="9" t="s">
        <v>7</v>
      </c>
      <c r="F395" s="10">
        <f>F396+F397+F398</f>
        <v>634112</v>
      </c>
      <c r="G395" s="10">
        <v>634112</v>
      </c>
      <c r="H395" s="10">
        <v>634112</v>
      </c>
    </row>
    <row r="396" spans="1:8" x14ac:dyDescent="0.25">
      <c r="B396" s="11"/>
      <c r="C396" s="11"/>
      <c r="D396" s="11">
        <v>311</v>
      </c>
      <c r="E396" s="11" t="s">
        <v>21</v>
      </c>
      <c r="F396" s="12">
        <v>521000</v>
      </c>
      <c r="G396" s="12"/>
      <c r="H396" s="12"/>
    </row>
    <row r="397" spans="1:8" x14ac:dyDescent="0.25">
      <c r="B397" s="11"/>
      <c r="C397" s="11"/>
      <c r="D397" s="11">
        <v>312</v>
      </c>
      <c r="E397" s="11" t="s">
        <v>9</v>
      </c>
      <c r="F397" s="12">
        <f>6000+8750+8750</f>
        <v>23500</v>
      </c>
      <c r="G397" s="12"/>
      <c r="H397" s="12"/>
    </row>
    <row r="398" spans="1:8" x14ac:dyDescent="0.25">
      <c r="B398" s="11"/>
      <c r="C398" s="11"/>
      <c r="D398" s="11">
        <v>313</v>
      </c>
      <c r="E398" s="11" t="s">
        <v>10</v>
      </c>
      <c r="F398" s="12">
        <v>89612</v>
      </c>
      <c r="G398" s="12"/>
      <c r="H398" s="12"/>
    </row>
    <row r="399" spans="1:8" x14ac:dyDescent="0.25">
      <c r="B399" s="11"/>
      <c r="C399" s="9">
        <v>32</v>
      </c>
      <c r="D399" s="11"/>
      <c r="E399" s="9" t="s">
        <v>11</v>
      </c>
      <c r="F399" s="10">
        <f>F400</f>
        <v>20000</v>
      </c>
      <c r="G399" s="10">
        <v>20000</v>
      </c>
      <c r="H399" s="10">
        <v>20000</v>
      </c>
    </row>
    <row r="400" spans="1:8" x14ac:dyDescent="0.25">
      <c r="B400" s="9"/>
      <c r="C400" s="9"/>
      <c r="D400" s="11">
        <v>322</v>
      </c>
      <c r="E400" s="11" t="s">
        <v>22</v>
      </c>
      <c r="F400" s="12">
        <v>20000</v>
      </c>
      <c r="G400" s="10"/>
      <c r="H400" s="10"/>
    </row>
    <row r="401" spans="2:8" x14ac:dyDescent="0.25">
      <c r="B401" s="36"/>
      <c r="C401" s="36"/>
      <c r="D401" s="36"/>
      <c r="E401" s="48" t="s">
        <v>170</v>
      </c>
      <c r="F401" s="31">
        <f>F404</f>
        <v>105000</v>
      </c>
      <c r="G401" s="115"/>
      <c r="H401" s="119"/>
    </row>
    <row r="402" spans="2:8" ht="23.25" x14ac:dyDescent="0.25">
      <c r="B402" s="36"/>
      <c r="C402" s="36"/>
      <c r="D402" s="36"/>
      <c r="E402" s="78" t="s">
        <v>67</v>
      </c>
      <c r="F402" s="10"/>
      <c r="G402" s="114"/>
      <c r="H402" s="120"/>
    </row>
    <row r="403" spans="2:8" x14ac:dyDescent="0.25">
      <c r="B403" s="36"/>
      <c r="C403" s="36"/>
      <c r="D403" s="36"/>
      <c r="E403" s="78" t="s">
        <v>194</v>
      </c>
      <c r="F403" s="10"/>
      <c r="G403" s="114"/>
      <c r="H403" s="120"/>
    </row>
    <row r="404" spans="2:8" ht="26.25" x14ac:dyDescent="0.25">
      <c r="B404" s="34">
        <v>4</v>
      </c>
      <c r="C404" s="34"/>
      <c r="D404" s="34"/>
      <c r="E404" s="45" t="s">
        <v>51</v>
      </c>
      <c r="F404" s="10">
        <f>F405</f>
        <v>105000</v>
      </c>
      <c r="G404" s="114"/>
      <c r="H404" s="120"/>
    </row>
    <row r="405" spans="2:8" ht="26.25" x14ac:dyDescent="0.25">
      <c r="B405" s="34"/>
      <c r="C405" s="34">
        <v>42</v>
      </c>
      <c r="D405" s="34"/>
      <c r="E405" s="45" t="s">
        <v>41</v>
      </c>
      <c r="F405" s="10">
        <f>F406</f>
        <v>105000</v>
      </c>
      <c r="G405" s="114"/>
      <c r="H405" s="120"/>
    </row>
    <row r="406" spans="2:8" x14ac:dyDescent="0.25">
      <c r="B406" s="35"/>
      <c r="C406" s="35"/>
      <c r="D406" s="35">
        <v>422</v>
      </c>
      <c r="E406" s="116" t="s">
        <v>68</v>
      </c>
      <c r="F406" s="117">
        <v>105000</v>
      </c>
      <c r="G406" s="118"/>
      <c r="H406" s="112"/>
    </row>
    <row r="407" spans="2:8" ht="26.25" x14ac:dyDescent="0.25">
      <c r="B407" s="36"/>
      <c r="C407" s="36"/>
      <c r="D407" s="36"/>
      <c r="E407" s="48" t="s">
        <v>126</v>
      </c>
      <c r="F407" s="31">
        <f>F409+F412</f>
        <v>364166</v>
      </c>
      <c r="G407" s="31">
        <f t="shared" ref="G407:H407" si="48">G409+G412</f>
        <v>359244</v>
      </c>
      <c r="H407" s="31">
        <f t="shared" si="48"/>
        <v>356244</v>
      </c>
    </row>
    <row r="408" spans="2:8" x14ac:dyDescent="0.25">
      <c r="B408" s="36"/>
      <c r="C408" s="36"/>
      <c r="D408" s="36"/>
      <c r="E408" s="32" t="s">
        <v>162</v>
      </c>
      <c r="F408" s="33"/>
      <c r="G408" s="33"/>
      <c r="H408" s="33"/>
    </row>
    <row r="409" spans="2:8" x14ac:dyDescent="0.25">
      <c r="B409" s="34">
        <v>3</v>
      </c>
      <c r="C409" s="34"/>
      <c r="D409" s="34"/>
      <c r="E409" s="45" t="s">
        <v>6</v>
      </c>
      <c r="F409" s="10">
        <f>F410</f>
        <v>64166</v>
      </c>
      <c r="G409" s="10">
        <f t="shared" ref="G409:H409" si="49">G410</f>
        <v>59244</v>
      </c>
      <c r="H409" s="10">
        <f t="shared" si="49"/>
        <v>56244</v>
      </c>
    </row>
    <row r="410" spans="2:8" x14ac:dyDescent="0.25">
      <c r="B410" s="34"/>
      <c r="C410" s="34">
        <v>34</v>
      </c>
      <c r="D410" s="34"/>
      <c r="E410" s="45" t="s">
        <v>23</v>
      </c>
      <c r="F410" s="10">
        <f>F411</f>
        <v>64166</v>
      </c>
      <c r="G410" s="10">
        <v>59244</v>
      </c>
      <c r="H410" s="10">
        <v>56244</v>
      </c>
    </row>
    <row r="411" spans="2:8" x14ac:dyDescent="0.25">
      <c r="B411" s="35"/>
      <c r="C411" s="35"/>
      <c r="D411" s="35">
        <v>342</v>
      </c>
      <c r="E411" s="55" t="s">
        <v>69</v>
      </c>
      <c r="F411" s="12">
        <v>64166</v>
      </c>
      <c r="G411" s="12"/>
      <c r="H411" s="12"/>
    </row>
    <row r="412" spans="2:8" ht="26.25" x14ac:dyDescent="0.25">
      <c r="B412" s="34">
        <v>5</v>
      </c>
      <c r="C412" s="34"/>
      <c r="D412" s="34"/>
      <c r="E412" s="45" t="s">
        <v>70</v>
      </c>
      <c r="F412" s="100">
        <f>F413</f>
        <v>300000</v>
      </c>
      <c r="G412" s="100">
        <f t="shared" ref="G412:H412" si="50">G413</f>
        <v>300000</v>
      </c>
      <c r="H412" s="100">
        <f t="shared" si="50"/>
        <v>300000</v>
      </c>
    </row>
    <row r="413" spans="2:8" ht="26.25" x14ac:dyDescent="0.25">
      <c r="B413" s="34"/>
      <c r="C413" s="34">
        <v>54</v>
      </c>
      <c r="D413" s="34"/>
      <c r="E413" s="45" t="s">
        <v>71</v>
      </c>
      <c r="F413" s="100">
        <f>F414</f>
        <v>300000</v>
      </c>
      <c r="G413" s="100">
        <v>300000</v>
      </c>
      <c r="H413" s="100">
        <v>300000</v>
      </c>
    </row>
    <row r="414" spans="2:8" ht="39" x14ac:dyDescent="0.25">
      <c r="B414" s="35"/>
      <c r="C414" s="35"/>
      <c r="D414" s="35">
        <v>543</v>
      </c>
      <c r="E414" s="55" t="s">
        <v>72</v>
      </c>
      <c r="F414" s="69">
        <v>300000</v>
      </c>
      <c r="G414" s="69"/>
      <c r="H414" s="69"/>
    </row>
    <row r="415" spans="2:8" x14ac:dyDescent="0.25">
      <c r="B415" s="36"/>
      <c r="C415" s="36"/>
      <c r="D415" s="36"/>
      <c r="E415" s="30" t="s">
        <v>73</v>
      </c>
      <c r="F415" s="31">
        <f>F417</f>
        <v>53000</v>
      </c>
      <c r="G415" s="31">
        <f>G417</f>
        <v>51490</v>
      </c>
      <c r="H415" s="31">
        <f>H417</f>
        <v>51490</v>
      </c>
    </row>
    <row r="416" spans="2:8" x14ac:dyDescent="0.25">
      <c r="B416" s="36"/>
      <c r="C416" s="36"/>
      <c r="D416" s="36"/>
      <c r="E416" s="32" t="s">
        <v>30</v>
      </c>
      <c r="F416" s="33"/>
      <c r="G416" s="33"/>
      <c r="H416" s="33"/>
    </row>
    <row r="417" spans="2:8" x14ac:dyDescent="0.25">
      <c r="B417" s="34">
        <v>3</v>
      </c>
      <c r="C417" s="34"/>
      <c r="D417" s="34"/>
      <c r="E417" s="34" t="s">
        <v>6</v>
      </c>
      <c r="F417" s="10">
        <f>F418+F420</f>
        <v>53000</v>
      </c>
      <c r="G417" s="10">
        <f>G418+G420</f>
        <v>51490</v>
      </c>
      <c r="H417" s="10">
        <f t="shared" ref="H417" si="51">H418+H420</f>
        <v>51490</v>
      </c>
    </row>
    <row r="418" spans="2:8" ht="26.25" x14ac:dyDescent="0.25">
      <c r="B418" s="34"/>
      <c r="C418" s="34">
        <v>36</v>
      </c>
      <c r="D418" s="34"/>
      <c r="E418" s="45" t="s">
        <v>74</v>
      </c>
      <c r="F418" s="10">
        <f>F419</f>
        <v>9000</v>
      </c>
      <c r="G418" s="10">
        <v>9000</v>
      </c>
      <c r="H418" s="10">
        <v>9000</v>
      </c>
    </row>
    <row r="419" spans="2:8" x14ac:dyDescent="0.25">
      <c r="B419" s="35"/>
      <c r="C419" s="35"/>
      <c r="D419" s="35">
        <v>363</v>
      </c>
      <c r="E419" s="35" t="s">
        <v>127</v>
      </c>
      <c r="F419" s="12">
        <f>1000+8000</f>
        <v>9000</v>
      </c>
      <c r="G419" s="12"/>
      <c r="H419" s="12"/>
    </row>
    <row r="420" spans="2:8" x14ac:dyDescent="0.25">
      <c r="B420" s="34"/>
      <c r="C420" s="34">
        <v>37</v>
      </c>
      <c r="D420" s="34"/>
      <c r="E420" s="34" t="s">
        <v>45</v>
      </c>
      <c r="F420" s="10">
        <f>F421</f>
        <v>44000</v>
      </c>
      <c r="G420" s="10">
        <v>42490</v>
      </c>
      <c r="H420" s="10">
        <v>42490</v>
      </c>
    </row>
    <row r="421" spans="2:8" x14ac:dyDescent="0.25">
      <c r="B421" s="35"/>
      <c r="C421" s="35"/>
      <c r="D421" s="35">
        <v>372</v>
      </c>
      <c r="E421" s="35" t="s">
        <v>46</v>
      </c>
      <c r="F421" s="12">
        <f>17000+27000</f>
        <v>44000</v>
      </c>
      <c r="G421" s="12"/>
      <c r="H421" s="12"/>
    </row>
    <row r="422" spans="2:8" ht="26.25" x14ac:dyDescent="0.25">
      <c r="B422" s="36"/>
      <c r="C422" s="36"/>
      <c r="D422" s="36"/>
      <c r="E422" s="48" t="s">
        <v>128</v>
      </c>
      <c r="F422" s="31">
        <f>F424</f>
        <v>54000</v>
      </c>
      <c r="G422" s="31">
        <f>G424</f>
        <v>53000</v>
      </c>
      <c r="H422" s="31">
        <f>H424</f>
        <v>53000</v>
      </c>
    </row>
    <row r="423" spans="2:8" x14ac:dyDescent="0.25">
      <c r="B423" s="36"/>
      <c r="C423" s="36"/>
      <c r="D423" s="36"/>
      <c r="E423" s="32" t="s">
        <v>30</v>
      </c>
      <c r="F423" s="33"/>
      <c r="G423" s="33"/>
      <c r="H423" s="33"/>
    </row>
    <row r="424" spans="2:8" x14ac:dyDescent="0.25">
      <c r="B424" s="34">
        <v>3</v>
      </c>
      <c r="C424" s="34"/>
      <c r="D424" s="34"/>
      <c r="E424" s="34" t="s">
        <v>6</v>
      </c>
      <c r="F424" s="10">
        <f>F425</f>
        <v>54000</v>
      </c>
      <c r="G424" s="10">
        <f>G425</f>
        <v>53000</v>
      </c>
      <c r="H424" s="10">
        <f>H425</f>
        <v>53000</v>
      </c>
    </row>
    <row r="425" spans="2:8" x14ac:dyDescent="0.25">
      <c r="B425" s="34"/>
      <c r="C425" s="34">
        <v>37</v>
      </c>
      <c r="D425" s="34"/>
      <c r="E425" s="34" t="s">
        <v>45</v>
      </c>
      <c r="F425" s="10">
        <f>F426</f>
        <v>54000</v>
      </c>
      <c r="G425" s="10">
        <v>53000</v>
      </c>
      <c r="H425" s="10">
        <v>53000</v>
      </c>
    </row>
    <row r="426" spans="2:8" x14ac:dyDescent="0.25">
      <c r="B426" s="35"/>
      <c r="C426" s="35"/>
      <c r="D426" s="35">
        <v>372</v>
      </c>
      <c r="E426" s="35" t="s">
        <v>46</v>
      </c>
      <c r="F426" s="12">
        <v>54000</v>
      </c>
      <c r="G426" s="12"/>
      <c r="H426" s="12"/>
    </row>
    <row r="427" spans="2:8" ht="26.25" x14ac:dyDescent="0.25">
      <c r="B427" s="58"/>
      <c r="C427" s="58"/>
      <c r="D427" s="58"/>
      <c r="E427" s="59" t="s">
        <v>76</v>
      </c>
      <c r="F427" s="24">
        <f>F429</f>
        <v>226333.01</v>
      </c>
      <c r="G427" s="24">
        <f>G429</f>
        <v>205709.01</v>
      </c>
      <c r="H427" s="24">
        <f>H429</f>
        <v>201864.69</v>
      </c>
    </row>
    <row r="428" spans="2:8" ht="26.25" x14ac:dyDescent="0.25">
      <c r="B428" s="58"/>
      <c r="C428" s="58"/>
      <c r="D428" s="58"/>
      <c r="E428" s="59" t="s">
        <v>77</v>
      </c>
      <c r="F428" s="24"/>
      <c r="G428" s="24"/>
      <c r="H428" s="24"/>
    </row>
    <row r="429" spans="2:8" ht="39" x14ac:dyDescent="0.25">
      <c r="B429" s="60"/>
      <c r="C429" s="60"/>
      <c r="D429" s="60"/>
      <c r="E429" s="61" t="s">
        <v>129</v>
      </c>
      <c r="F429" s="28">
        <f>F430+F444+F449+F454+F459+F464+F435</f>
        <v>226333.01</v>
      </c>
      <c r="G429" s="28">
        <f t="shared" ref="G429:H429" si="52">G430+G444+G449+G454+G459+G464+G435</f>
        <v>205709.01</v>
      </c>
      <c r="H429" s="28">
        <f t="shared" si="52"/>
        <v>201864.69</v>
      </c>
    </row>
    <row r="430" spans="2:8" ht="26.25" x14ac:dyDescent="0.25">
      <c r="B430" s="36"/>
      <c r="C430" s="36"/>
      <c r="D430" s="36"/>
      <c r="E430" s="48" t="s">
        <v>78</v>
      </c>
      <c r="F430" s="31">
        <f>F432</f>
        <v>52510</v>
      </c>
      <c r="G430" s="31">
        <f t="shared" ref="G430:H430" si="53">G432</f>
        <v>52510</v>
      </c>
      <c r="H430" s="31">
        <f t="shared" si="53"/>
        <v>52510</v>
      </c>
    </row>
    <row r="431" spans="2:8" x14ac:dyDescent="0.25">
      <c r="B431" s="36"/>
      <c r="C431" s="36"/>
      <c r="D431" s="36"/>
      <c r="E431" s="32" t="s">
        <v>194</v>
      </c>
      <c r="F431" s="33"/>
      <c r="G431" s="33"/>
      <c r="H431" s="33"/>
    </row>
    <row r="432" spans="2:8" x14ac:dyDescent="0.25">
      <c r="B432" s="34">
        <v>3</v>
      </c>
      <c r="C432" s="34"/>
      <c r="D432" s="34"/>
      <c r="E432" s="34" t="s">
        <v>6</v>
      </c>
      <c r="F432" s="10">
        <f>F433</f>
        <v>52510</v>
      </c>
      <c r="G432" s="10">
        <f t="shared" ref="G432:H432" si="54">G433</f>
        <v>52510</v>
      </c>
      <c r="H432" s="10">
        <f t="shared" si="54"/>
        <v>52510</v>
      </c>
    </row>
    <row r="433" spans="2:8" x14ac:dyDescent="0.25">
      <c r="B433" s="34"/>
      <c r="C433" s="34">
        <v>37</v>
      </c>
      <c r="D433" s="34"/>
      <c r="E433" s="34" t="s">
        <v>45</v>
      </c>
      <c r="F433" s="10">
        <f>F434</f>
        <v>52510</v>
      </c>
      <c r="G433" s="10">
        <v>52510</v>
      </c>
      <c r="H433" s="10">
        <v>52510</v>
      </c>
    </row>
    <row r="434" spans="2:8" x14ac:dyDescent="0.25">
      <c r="B434" s="35"/>
      <c r="C434" s="35"/>
      <c r="D434" s="35">
        <v>372</v>
      </c>
      <c r="E434" s="35" t="s">
        <v>46</v>
      </c>
      <c r="F434" s="12">
        <f>42060+10450</f>
        <v>52510</v>
      </c>
      <c r="G434" s="12"/>
      <c r="H434" s="12"/>
    </row>
    <row r="435" spans="2:8" x14ac:dyDescent="0.25">
      <c r="B435" s="36"/>
      <c r="C435" s="36"/>
      <c r="D435" s="36"/>
      <c r="E435" s="48" t="s">
        <v>147</v>
      </c>
      <c r="F435" s="31">
        <f>F437</f>
        <v>116223.01000000001</v>
      </c>
      <c r="G435" s="31">
        <f>G437</f>
        <v>100599.01000000001</v>
      </c>
      <c r="H435" s="31">
        <f>H437</f>
        <v>96754.69</v>
      </c>
    </row>
    <row r="436" spans="2:8" x14ac:dyDescent="0.25">
      <c r="B436" s="36"/>
      <c r="C436" s="36"/>
      <c r="D436" s="36"/>
      <c r="E436" s="32" t="s">
        <v>196</v>
      </c>
      <c r="F436" s="33"/>
      <c r="G436" s="33"/>
      <c r="H436" s="33"/>
    </row>
    <row r="437" spans="2:8" x14ac:dyDescent="0.25">
      <c r="B437" s="34">
        <v>3</v>
      </c>
      <c r="C437" s="34"/>
      <c r="D437" s="34"/>
      <c r="E437" s="34" t="s">
        <v>6</v>
      </c>
      <c r="F437" s="10">
        <f>F438+F441</f>
        <v>116223.01000000001</v>
      </c>
      <c r="G437" s="10">
        <f t="shared" ref="G437:H437" si="55">G438+G441</f>
        <v>100599.01000000001</v>
      </c>
      <c r="H437" s="10">
        <f t="shared" si="55"/>
        <v>96754.69</v>
      </c>
    </row>
    <row r="438" spans="2:8" x14ac:dyDescent="0.25">
      <c r="B438" s="34"/>
      <c r="C438" s="34">
        <v>31</v>
      </c>
      <c r="D438" s="34"/>
      <c r="E438" s="34" t="s">
        <v>7</v>
      </c>
      <c r="F438" s="10">
        <f>F439+F440</f>
        <v>96754.69</v>
      </c>
      <c r="G438" s="10">
        <v>96754.69</v>
      </c>
      <c r="H438" s="10">
        <v>96754.69</v>
      </c>
    </row>
    <row r="439" spans="2:8" x14ac:dyDescent="0.25">
      <c r="B439" s="35"/>
      <c r="C439" s="35"/>
      <c r="D439" s="35">
        <v>311</v>
      </c>
      <c r="E439" s="35" t="s">
        <v>21</v>
      </c>
      <c r="F439" s="12">
        <v>82555.199999999997</v>
      </c>
      <c r="G439" s="12"/>
      <c r="H439" s="12"/>
    </row>
    <row r="440" spans="2:8" x14ac:dyDescent="0.25">
      <c r="B440" s="35"/>
      <c r="C440" s="35"/>
      <c r="D440" s="35">
        <v>313</v>
      </c>
      <c r="E440" s="35" t="s">
        <v>166</v>
      </c>
      <c r="F440" s="12">
        <v>14199.49</v>
      </c>
      <c r="G440" s="12"/>
      <c r="H440" s="12"/>
    </row>
    <row r="441" spans="2:8" x14ac:dyDescent="0.25">
      <c r="B441" s="35"/>
      <c r="C441" s="34">
        <v>32</v>
      </c>
      <c r="D441" s="35"/>
      <c r="E441" s="34" t="s">
        <v>11</v>
      </c>
      <c r="F441" s="10">
        <f>F442+F443</f>
        <v>19468.32</v>
      </c>
      <c r="G441" s="10">
        <v>3844.32</v>
      </c>
      <c r="H441" s="10">
        <f>H442+H443</f>
        <v>0</v>
      </c>
    </row>
    <row r="442" spans="2:8" x14ac:dyDescent="0.25">
      <c r="B442" s="35"/>
      <c r="C442" s="34"/>
      <c r="D442" s="35">
        <v>321</v>
      </c>
      <c r="E442" s="35" t="s">
        <v>12</v>
      </c>
      <c r="F442" s="12">
        <f>3844.32+10824</f>
        <v>14668.32</v>
      </c>
      <c r="G442" s="12"/>
      <c r="H442" s="12"/>
    </row>
    <row r="443" spans="2:8" x14ac:dyDescent="0.25">
      <c r="B443" s="35"/>
      <c r="C443" s="34"/>
      <c r="D443" s="35">
        <v>322</v>
      </c>
      <c r="E443" s="35" t="s">
        <v>167</v>
      </c>
      <c r="F443" s="12">
        <f>1800+3000</f>
        <v>4800</v>
      </c>
      <c r="G443" s="12"/>
      <c r="H443" s="12"/>
    </row>
    <row r="444" spans="2:8" x14ac:dyDescent="0.25">
      <c r="B444" s="36"/>
      <c r="C444" s="36"/>
      <c r="D444" s="36"/>
      <c r="E444" s="48" t="s">
        <v>130</v>
      </c>
      <c r="F444" s="31">
        <f>F446</f>
        <v>5000</v>
      </c>
      <c r="G444" s="31">
        <f>G446</f>
        <v>5000</v>
      </c>
      <c r="H444" s="31">
        <f>H446</f>
        <v>5000</v>
      </c>
    </row>
    <row r="445" spans="2:8" x14ac:dyDescent="0.25">
      <c r="B445" s="36"/>
      <c r="C445" s="36"/>
      <c r="D445" s="36"/>
      <c r="E445" s="32" t="s">
        <v>30</v>
      </c>
      <c r="F445" s="33"/>
      <c r="G445" s="33"/>
      <c r="H445" s="33"/>
    </row>
    <row r="446" spans="2:8" x14ac:dyDescent="0.25">
      <c r="B446" s="34">
        <v>3</v>
      </c>
      <c r="C446" s="34"/>
      <c r="D446" s="34"/>
      <c r="E446" s="34" t="s">
        <v>6</v>
      </c>
      <c r="F446" s="10">
        <f>F447</f>
        <v>5000</v>
      </c>
      <c r="G446" s="10">
        <f t="shared" ref="G446:H446" si="56">G447</f>
        <v>5000</v>
      </c>
      <c r="H446" s="10">
        <f t="shared" si="56"/>
        <v>5000</v>
      </c>
    </row>
    <row r="447" spans="2:8" x14ac:dyDescent="0.25">
      <c r="B447" s="34"/>
      <c r="C447" s="34">
        <v>38</v>
      </c>
      <c r="D447" s="34"/>
      <c r="E447" s="34" t="s">
        <v>15</v>
      </c>
      <c r="F447" s="10">
        <f>F448</f>
        <v>5000</v>
      </c>
      <c r="G447" s="10">
        <v>5000</v>
      </c>
      <c r="H447" s="10">
        <v>5000</v>
      </c>
    </row>
    <row r="448" spans="2:8" x14ac:dyDescent="0.25">
      <c r="B448" s="35"/>
      <c r="C448" s="35"/>
      <c r="D448" s="35">
        <v>381</v>
      </c>
      <c r="E448" s="35" t="s">
        <v>31</v>
      </c>
      <c r="F448" s="12">
        <v>5000</v>
      </c>
      <c r="G448" s="12"/>
      <c r="H448" s="12"/>
    </row>
    <row r="449" spans="2:8" ht="26.25" x14ac:dyDescent="0.25">
      <c r="B449" s="36"/>
      <c r="C449" s="36"/>
      <c r="D449" s="36"/>
      <c r="E449" s="48" t="s">
        <v>79</v>
      </c>
      <c r="F449" s="31">
        <f>F451</f>
        <v>27000</v>
      </c>
      <c r="G449" s="31">
        <f>G451</f>
        <v>27000</v>
      </c>
      <c r="H449" s="31">
        <f>H451</f>
        <v>27000</v>
      </c>
    </row>
    <row r="450" spans="2:8" x14ac:dyDescent="0.25">
      <c r="B450" s="36"/>
      <c r="C450" s="36"/>
      <c r="D450" s="36"/>
      <c r="E450" s="32" t="s">
        <v>30</v>
      </c>
      <c r="F450" s="33"/>
      <c r="G450" s="33"/>
      <c r="H450" s="33"/>
    </row>
    <row r="451" spans="2:8" x14ac:dyDescent="0.25">
      <c r="B451" s="34">
        <v>3</v>
      </c>
      <c r="C451" s="34"/>
      <c r="D451" s="34"/>
      <c r="E451" s="34" t="s">
        <v>6</v>
      </c>
      <c r="F451" s="10">
        <f>F452</f>
        <v>27000</v>
      </c>
      <c r="G451" s="10">
        <f t="shared" ref="G451:H451" si="57">G452</f>
        <v>27000</v>
      </c>
      <c r="H451" s="10">
        <f t="shared" si="57"/>
        <v>27000</v>
      </c>
    </row>
    <row r="452" spans="2:8" x14ac:dyDescent="0.25">
      <c r="B452" s="34"/>
      <c r="C452" s="34">
        <v>37</v>
      </c>
      <c r="D452" s="34"/>
      <c r="E452" s="34" t="s">
        <v>45</v>
      </c>
      <c r="F452" s="10">
        <f>F453</f>
        <v>27000</v>
      </c>
      <c r="G452" s="10">
        <v>27000</v>
      </c>
      <c r="H452" s="10">
        <v>27000</v>
      </c>
    </row>
    <row r="453" spans="2:8" x14ac:dyDescent="0.25">
      <c r="B453" s="35"/>
      <c r="C453" s="35"/>
      <c r="D453" s="35">
        <v>372</v>
      </c>
      <c r="E453" s="35" t="s">
        <v>46</v>
      </c>
      <c r="F453" s="12">
        <f>13000+14000</f>
        <v>27000</v>
      </c>
      <c r="G453" s="12"/>
      <c r="H453" s="12"/>
    </row>
    <row r="454" spans="2:8" ht="26.25" x14ac:dyDescent="0.25">
      <c r="B454" s="36"/>
      <c r="C454" s="36"/>
      <c r="D454" s="36"/>
      <c r="E454" s="48" t="s">
        <v>149</v>
      </c>
      <c r="F454" s="31">
        <f>F456</f>
        <v>20000</v>
      </c>
      <c r="G454" s="31">
        <f t="shared" ref="G454:H454" si="58">G456</f>
        <v>15000</v>
      </c>
      <c r="H454" s="31">
        <f t="shared" si="58"/>
        <v>15000</v>
      </c>
    </row>
    <row r="455" spans="2:8" x14ac:dyDescent="0.25">
      <c r="B455" s="36"/>
      <c r="C455" s="36"/>
      <c r="D455" s="36"/>
      <c r="E455" s="32" t="s">
        <v>30</v>
      </c>
      <c r="F455" s="33"/>
      <c r="G455" s="33"/>
      <c r="H455" s="33"/>
    </row>
    <row r="456" spans="2:8" x14ac:dyDescent="0.25">
      <c r="B456" s="34">
        <v>3</v>
      </c>
      <c r="C456" s="34"/>
      <c r="D456" s="34"/>
      <c r="E456" s="34" t="s">
        <v>6</v>
      </c>
      <c r="F456" s="10">
        <f>F457</f>
        <v>20000</v>
      </c>
      <c r="G456" s="10">
        <f t="shared" ref="G456:H456" si="59">G457</f>
        <v>15000</v>
      </c>
      <c r="H456" s="10">
        <f t="shared" si="59"/>
        <v>15000</v>
      </c>
    </row>
    <row r="457" spans="2:8" x14ac:dyDescent="0.25">
      <c r="B457" s="34"/>
      <c r="C457" s="34">
        <v>37</v>
      </c>
      <c r="D457" s="34"/>
      <c r="E457" s="34" t="s">
        <v>45</v>
      </c>
      <c r="F457" s="10">
        <f>F458</f>
        <v>20000</v>
      </c>
      <c r="G457" s="10">
        <v>15000</v>
      </c>
      <c r="H457" s="10">
        <v>15000</v>
      </c>
    </row>
    <row r="458" spans="2:8" x14ac:dyDescent="0.25">
      <c r="B458" s="35"/>
      <c r="C458" s="35"/>
      <c r="D458" s="35">
        <v>372</v>
      </c>
      <c r="E458" s="35" t="s">
        <v>46</v>
      </c>
      <c r="F458" s="12">
        <f>5000+10000+5000</f>
        <v>20000</v>
      </c>
      <c r="G458" s="12"/>
      <c r="H458" s="12"/>
    </row>
    <row r="459" spans="2:8" ht="26.25" x14ac:dyDescent="0.25">
      <c r="B459" s="36"/>
      <c r="C459" s="36"/>
      <c r="D459" s="36"/>
      <c r="E459" s="48" t="s">
        <v>131</v>
      </c>
      <c r="F459" s="31">
        <f>F461</f>
        <v>4000</v>
      </c>
      <c r="G459" s="31">
        <f t="shared" ref="G459:H459" si="60">G461</f>
        <v>4000</v>
      </c>
      <c r="H459" s="31">
        <f t="shared" si="60"/>
        <v>4000</v>
      </c>
    </row>
    <row r="460" spans="2:8" x14ac:dyDescent="0.25">
      <c r="B460" s="36"/>
      <c r="C460" s="36"/>
      <c r="D460" s="36"/>
      <c r="E460" s="32" t="s">
        <v>30</v>
      </c>
      <c r="F460" s="33"/>
      <c r="G460" s="33"/>
      <c r="H460" s="33"/>
    </row>
    <row r="461" spans="2:8" x14ac:dyDescent="0.25">
      <c r="B461" s="34">
        <v>3</v>
      </c>
      <c r="C461" s="34"/>
      <c r="D461" s="34"/>
      <c r="E461" s="34" t="s">
        <v>6</v>
      </c>
      <c r="F461" s="10">
        <f>F462</f>
        <v>4000</v>
      </c>
      <c r="G461" s="10">
        <f t="shared" ref="G461:H461" si="61">G462</f>
        <v>4000</v>
      </c>
      <c r="H461" s="10">
        <f t="shared" si="61"/>
        <v>4000</v>
      </c>
    </row>
    <row r="462" spans="2:8" x14ac:dyDescent="0.25">
      <c r="B462" s="34"/>
      <c r="C462" s="34">
        <v>38</v>
      </c>
      <c r="D462" s="34"/>
      <c r="E462" s="34" t="s">
        <v>15</v>
      </c>
      <c r="F462" s="10">
        <f>F463</f>
        <v>4000</v>
      </c>
      <c r="G462" s="10">
        <v>4000</v>
      </c>
      <c r="H462" s="10">
        <v>4000</v>
      </c>
    </row>
    <row r="463" spans="2:8" x14ac:dyDescent="0.25">
      <c r="B463" s="35"/>
      <c r="C463" s="35"/>
      <c r="D463" s="35">
        <v>381</v>
      </c>
      <c r="E463" s="35" t="s">
        <v>31</v>
      </c>
      <c r="F463" s="12">
        <f>1000+3000</f>
        <v>4000</v>
      </c>
      <c r="G463" s="12"/>
      <c r="H463" s="12"/>
    </row>
    <row r="464" spans="2:8" x14ac:dyDescent="0.25">
      <c r="B464" s="36"/>
      <c r="C464" s="36"/>
      <c r="D464" s="36"/>
      <c r="E464" s="48" t="s">
        <v>80</v>
      </c>
      <c r="F464" s="31">
        <f>F466</f>
        <v>1600</v>
      </c>
      <c r="G464" s="31">
        <f t="shared" ref="G464:H464" si="62">G466</f>
        <v>1600</v>
      </c>
      <c r="H464" s="31">
        <f t="shared" si="62"/>
        <v>1600</v>
      </c>
    </row>
    <row r="465" spans="2:8" x14ac:dyDescent="0.25">
      <c r="B465" s="36"/>
      <c r="C465" s="36"/>
      <c r="D465" s="36"/>
      <c r="E465" s="32" t="s">
        <v>30</v>
      </c>
      <c r="F465" s="82"/>
      <c r="G465" s="82"/>
      <c r="H465" s="82"/>
    </row>
    <row r="466" spans="2:8" x14ac:dyDescent="0.25">
      <c r="B466" s="34">
        <v>3</v>
      </c>
      <c r="C466" s="34"/>
      <c r="D466" s="34"/>
      <c r="E466" s="34" t="s">
        <v>6</v>
      </c>
      <c r="F466" s="100">
        <f>F467</f>
        <v>1600</v>
      </c>
      <c r="G466" s="100">
        <f t="shared" ref="G466:H466" si="63">G467</f>
        <v>1600</v>
      </c>
      <c r="H466" s="100">
        <f t="shared" si="63"/>
        <v>1600</v>
      </c>
    </row>
    <row r="467" spans="2:8" x14ac:dyDescent="0.25">
      <c r="B467" s="34"/>
      <c r="C467" s="34">
        <v>38</v>
      </c>
      <c r="D467" s="34"/>
      <c r="E467" s="34" t="s">
        <v>15</v>
      </c>
      <c r="F467" s="100">
        <f>F468</f>
        <v>1600</v>
      </c>
      <c r="G467" s="100">
        <v>1600</v>
      </c>
      <c r="H467" s="100">
        <v>1600</v>
      </c>
    </row>
    <row r="468" spans="2:8" x14ac:dyDescent="0.25">
      <c r="B468" s="35"/>
      <c r="C468" s="35"/>
      <c r="D468" s="35">
        <v>381</v>
      </c>
      <c r="E468" s="35" t="s">
        <v>31</v>
      </c>
      <c r="F468" s="69">
        <v>1600</v>
      </c>
      <c r="G468" s="69"/>
      <c r="H468" s="69"/>
    </row>
    <row r="469" spans="2:8" x14ac:dyDescent="0.25">
      <c r="B469" s="39"/>
      <c r="C469" s="39"/>
      <c r="D469" s="39"/>
      <c r="E469" s="39"/>
      <c r="F469" s="104"/>
      <c r="G469" s="104"/>
      <c r="H469" s="104"/>
    </row>
    <row r="470" spans="2:8" x14ac:dyDescent="0.25">
      <c r="B470" s="39"/>
      <c r="C470" s="39"/>
      <c r="D470" s="39"/>
      <c r="E470" s="39"/>
      <c r="F470" s="18"/>
      <c r="G470" s="18"/>
      <c r="H470" s="18"/>
    </row>
    <row r="471" spans="2:8" x14ac:dyDescent="0.25">
      <c r="B471" s="178" t="s">
        <v>132</v>
      </c>
      <c r="C471" s="178"/>
      <c r="D471" s="178"/>
      <c r="E471" s="178"/>
      <c r="F471" s="178"/>
      <c r="G471" s="178"/>
      <c r="H471" s="178"/>
    </row>
    <row r="472" spans="2:8" x14ac:dyDescent="0.25">
      <c r="B472" s="79"/>
      <c r="C472" s="79"/>
      <c r="D472" s="79"/>
      <c r="E472" s="79"/>
      <c r="F472" s="79"/>
      <c r="G472" s="79"/>
      <c r="H472" s="79"/>
    </row>
    <row r="473" spans="2:8" ht="26.25" customHeight="1" x14ac:dyDescent="0.25">
      <c r="B473" s="180" t="s">
        <v>154</v>
      </c>
      <c r="C473" s="180"/>
      <c r="D473" s="180"/>
      <c r="E473" s="180"/>
      <c r="F473" s="180"/>
      <c r="G473" s="180"/>
      <c r="H473" s="180"/>
    </row>
    <row r="474" spans="2:8" x14ac:dyDescent="0.25">
      <c r="B474"/>
      <c r="C474"/>
      <c r="D474"/>
      <c r="E474"/>
      <c r="F474"/>
      <c r="G474"/>
      <c r="H474"/>
    </row>
    <row r="475" spans="2:8" x14ac:dyDescent="0.25">
      <c r="B475" s="181" t="s">
        <v>133</v>
      </c>
      <c r="C475" s="181"/>
      <c r="D475" s="181"/>
      <c r="E475" s="181"/>
      <c r="F475" s="181"/>
      <c r="G475" s="181"/>
      <c r="H475" s="181"/>
    </row>
    <row r="476" spans="2:8" x14ac:dyDescent="0.25">
      <c r="B476" s="127"/>
      <c r="C476" s="127"/>
      <c r="D476" s="127"/>
      <c r="E476" s="127"/>
      <c r="F476" s="127"/>
      <c r="G476" s="127"/>
      <c r="H476" s="127"/>
    </row>
    <row r="477" spans="2:8" x14ac:dyDescent="0.25">
      <c r="B477" s="178" t="s">
        <v>134</v>
      </c>
      <c r="C477" s="178"/>
      <c r="D477" s="178"/>
      <c r="E477" s="178"/>
      <c r="F477" s="178"/>
      <c r="G477" s="178"/>
      <c r="H477" s="178"/>
    </row>
    <row r="478" spans="2:8" x14ac:dyDescent="0.25">
      <c r="B478"/>
      <c r="C478"/>
      <c r="D478"/>
      <c r="E478"/>
      <c r="F478"/>
      <c r="G478"/>
      <c r="H478" s="80"/>
    </row>
    <row r="479" spans="2:8" ht="26.25" customHeight="1" x14ac:dyDescent="0.25">
      <c r="B479" s="180" t="s">
        <v>155</v>
      </c>
      <c r="C479" s="180"/>
      <c r="D479" s="180"/>
      <c r="E479" s="180"/>
      <c r="F479" s="180"/>
      <c r="G479" s="180"/>
      <c r="H479" s="180"/>
    </row>
    <row r="480" spans="2:8" x14ac:dyDescent="0.25">
      <c r="B480"/>
      <c r="C480"/>
      <c r="D480"/>
      <c r="E480"/>
      <c r="F480"/>
      <c r="G480"/>
      <c r="H480" s="80"/>
    </row>
    <row r="481" spans="1:8" x14ac:dyDescent="0.25">
      <c r="B481" s="178" t="s">
        <v>135</v>
      </c>
      <c r="C481" s="178"/>
      <c r="D481" s="178"/>
      <c r="E481" s="178"/>
      <c r="F481" s="178"/>
      <c r="G481" s="178"/>
      <c r="H481" s="178"/>
    </row>
    <row r="482" spans="1:8" x14ac:dyDescent="0.25">
      <c r="B482" s="178" t="s">
        <v>136</v>
      </c>
      <c r="C482" s="178"/>
      <c r="D482" s="178"/>
      <c r="E482" s="178"/>
      <c r="F482" s="178"/>
      <c r="G482" s="178"/>
      <c r="H482" s="178"/>
    </row>
    <row r="483" spans="1:8" x14ac:dyDescent="0.25">
      <c r="B483" s="109"/>
      <c r="C483" s="109"/>
      <c r="D483" s="109"/>
      <c r="E483" s="109"/>
      <c r="F483" s="125"/>
      <c r="G483" s="125"/>
      <c r="H483" s="126"/>
    </row>
    <row r="484" spans="1:8" s="109" customFormat="1" x14ac:dyDescent="0.25">
      <c r="A484" s="159"/>
      <c r="B484" s="160" t="s">
        <v>212</v>
      </c>
      <c r="C484" s="160"/>
      <c r="D484" s="160"/>
      <c r="E484" s="160"/>
      <c r="F484" s="123"/>
      <c r="G484" s="123"/>
      <c r="H484" s="124"/>
    </row>
    <row r="485" spans="1:8" s="109" customFormat="1" x14ac:dyDescent="0.25">
      <c r="A485" s="159"/>
      <c r="B485" s="160" t="s">
        <v>213</v>
      </c>
      <c r="C485" s="160"/>
      <c r="D485" s="160"/>
      <c r="E485" s="160"/>
      <c r="F485" s="123"/>
      <c r="G485" s="123"/>
      <c r="H485" s="124"/>
    </row>
    <row r="486" spans="1:8" s="109" customFormat="1" x14ac:dyDescent="0.25">
      <c r="A486" s="159"/>
      <c r="B486" s="160" t="s">
        <v>214</v>
      </c>
      <c r="C486" s="160"/>
      <c r="D486" s="160"/>
      <c r="E486" s="160"/>
      <c r="F486" s="123"/>
      <c r="G486" s="123"/>
      <c r="H486" s="124"/>
    </row>
    <row r="487" spans="1:8" s="109" customFormat="1" x14ac:dyDescent="0.25">
      <c r="A487" s="159"/>
      <c r="B487" s="161"/>
      <c r="C487" s="161"/>
      <c r="D487" s="161"/>
      <c r="E487" s="161"/>
      <c r="F487" s="125"/>
      <c r="G487" s="162" t="s">
        <v>218</v>
      </c>
      <c r="H487" s="162"/>
    </row>
    <row r="488" spans="1:8" x14ac:dyDescent="0.25">
      <c r="G488" s="182" t="s">
        <v>211</v>
      </c>
      <c r="H488" s="182"/>
    </row>
    <row r="489" spans="1:8" x14ac:dyDescent="0.25">
      <c r="B489"/>
      <c r="C489"/>
      <c r="D489"/>
      <c r="E489"/>
      <c r="F489"/>
      <c r="G489"/>
      <c r="H489"/>
    </row>
    <row r="490" spans="1:8" x14ac:dyDescent="0.25">
      <c r="B490"/>
      <c r="C490"/>
      <c r="D490"/>
      <c r="E490"/>
      <c r="F490"/>
      <c r="G490"/>
      <c r="H490"/>
    </row>
    <row r="491" spans="1:8" x14ac:dyDescent="0.25">
      <c r="B491"/>
      <c r="C491"/>
      <c r="D491"/>
      <c r="E491"/>
      <c r="F491"/>
      <c r="G491"/>
      <c r="H491"/>
    </row>
    <row r="492" spans="1:8" x14ac:dyDescent="0.25">
      <c r="B492"/>
      <c r="C492"/>
      <c r="D492"/>
      <c r="E492"/>
      <c r="F492"/>
      <c r="G492"/>
      <c r="H492"/>
    </row>
    <row r="493" spans="1:8" x14ac:dyDescent="0.25">
      <c r="B493"/>
      <c r="C493"/>
      <c r="D493"/>
      <c r="E493"/>
      <c r="F493"/>
      <c r="G493"/>
      <c r="H493"/>
    </row>
    <row r="494" spans="1:8" x14ac:dyDescent="0.25">
      <c r="B494"/>
      <c r="C494"/>
      <c r="D494"/>
      <c r="E494"/>
      <c r="F494"/>
      <c r="G494"/>
      <c r="H494"/>
    </row>
    <row r="495" spans="1:8" x14ac:dyDescent="0.25">
      <c r="B495"/>
      <c r="C495"/>
      <c r="D495"/>
      <c r="E495"/>
      <c r="F495"/>
      <c r="G495"/>
      <c r="H495"/>
    </row>
    <row r="496" spans="1:8" x14ac:dyDescent="0.25">
      <c r="B496"/>
      <c r="C496"/>
      <c r="D496"/>
      <c r="E496"/>
      <c r="F496"/>
      <c r="G496"/>
      <c r="H496"/>
    </row>
    <row r="497" spans="2:8" x14ac:dyDescent="0.25">
      <c r="B497"/>
      <c r="C497"/>
      <c r="D497"/>
      <c r="E497"/>
      <c r="F497"/>
      <c r="G497"/>
      <c r="H497"/>
    </row>
    <row r="498" spans="2:8" x14ac:dyDescent="0.25">
      <c r="B498"/>
      <c r="C498"/>
      <c r="D498"/>
      <c r="E498"/>
      <c r="F498"/>
      <c r="G498"/>
      <c r="H498"/>
    </row>
    <row r="499" spans="2:8" x14ac:dyDescent="0.25">
      <c r="B499"/>
      <c r="C499"/>
      <c r="D499"/>
      <c r="E499"/>
      <c r="F499"/>
      <c r="G499"/>
      <c r="H499"/>
    </row>
    <row r="500" spans="2:8" x14ac:dyDescent="0.25">
      <c r="B500"/>
      <c r="C500"/>
      <c r="D500"/>
      <c r="E500"/>
      <c r="F500"/>
      <c r="G500"/>
      <c r="H500"/>
    </row>
    <row r="501" spans="2:8" x14ac:dyDescent="0.25">
      <c r="B501"/>
      <c r="C501"/>
      <c r="D501"/>
      <c r="E501"/>
      <c r="F501"/>
      <c r="G501"/>
      <c r="H501"/>
    </row>
    <row r="502" spans="2:8" x14ac:dyDescent="0.25">
      <c r="B502"/>
      <c r="C502"/>
      <c r="D502"/>
      <c r="E502"/>
      <c r="F502"/>
      <c r="G502"/>
      <c r="H502"/>
    </row>
    <row r="503" spans="2:8" x14ac:dyDescent="0.25">
      <c r="B503"/>
      <c r="C503"/>
      <c r="D503"/>
      <c r="E503"/>
      <c r="F503"/>
      <c r="G503"/>
      <c r="H503"/>
    </row>
    <row r="504" spans="2:8" x14ac:dyDescent="0.25">
      <c r="B504"/>
      <c r="C504"/>
      <c r="D504"/>
      <c r="E504"/>
      <c r="F504"/>
      <c r="G504"/>
      <c r="H504"/>
    </row>
    <row r="505" spans="2:8" x14ac:dyDescent="0.25">
      <c r="B505"/>
      <c r="C505"/>
      <c r="D505"/>
      <c r="E505"/>
      <c r="F505"/>
      <c r="G505"/>
      <c r="H505"/>
    </row>
    <row r="506" spans="2:8" x14ac:dyDescent="0.25">
      <c r="B506"/>
      <c r="C506"/>
      <c r="D506"/>
      <c r="E506"/>
      <c r="F506"/>
      <c r="G506"/>
      <c r="H506"/>
    </row>
    <row r="507" spans="2:8" x14ac:dyDescent="0.25">
      <c r="B507"/>
      <c r="C507"/>
      <c r="D507"/>
      <c r="E507"/>
      <c r="F507"/>
      <c r="G507"/>
      <c r="H507"/>
    </row>
    <row r="508" spans="2:8" x14ac:dyDescent="0.25">
      <c r="B508"/>
      <c r="C508"/>
      <c r="D508"/>
      <c r="E508"/>
      <c r="F508"/>
      <c r="G508"/>
      <c r="H508"/>
    </row>
    <row r="509" spans="2:8" x14ac:dyDescent="0.25">
      <c r="B509"/>
      <c r="C509"/>
      <c r="D509"/>
      <c r="E509"/>
      <c r="F509"/>
      <c r="G509"/>
      <c r="H509"/>
    </row>
    <row r="510" spans="2:8" x14ac:dyDescent="0.25">
      <c r="B510"/>
      <c r="C510"/>
      <c r="D510"/>
      <c r="E510"/>
      <c r="F510"/>
      <c r="G510"/>
      <c r="H510"/>
    </row>
  </sheetData>
  <mergeCells count="85">
    <mergeCell ref="B25:H25"/>
    <mergeCell ref="A13:E13"/>
    <mergeCell ref="B10:H10"/>
    <mergeCell ref="B1:H1"/>
    <mergeCell ref="B3:H3"/>
    <mergeCell ref="B4:H4"/>
    <mergeCell ref="B6:H6"/>
    <mergeCell ref="B8:H8"/>
    <mergeCell ref="A14:E14"/>
    <mergeCell ref="A15:E15"/>
    <mergeCell ref="A16:E16"/>
    <mergeCell ref="A17:E17"/>
    <mergeCell ref="C60:E60"/>
    <mergeCell ref="D61:E61"/>
    <mergeCell ref="F31:F34"/>
    <mergeCell ref="G31:G34"/>
    <mergeCell ref="H31:H34"/>
    <mergeCell ref="C32:E32"/>
    <mergeCell ref="D33:E33"/>
    <mergeCell ref="F106:F109"/>
    <mergeCell ref="G106:G109"/>
    <mergeCell ref="F59:F62"/>
    <mergeCell ref="G59:G62"/>
    <mergeCell ref="H59:H62"/>
    <mergeCell ref="C90:E90"/>
    <mergeCell ref="D91:E91"/>
    <mergeCell ref="B102:E102"/>
    <mergeCell ref="B104:E104"/>
    <mergeCell ref="B106:E106"/>
    <mergeCell ref="B142:H142"/>
    <mergeCell ref="B138:H138"/>
    <mergeCell ref="B140:H140"/>
    <mergeCell ref="B117:E117"/>
    <mergeCell ref="F117:F120"/>
    <mergeCell ref="G117:G120"/>
    <mergeCell ref="H117:H120"/>
    <mergeCell ref="C118:E118"/>
    <mergeCell ref="D119:E119"/>
    <mergeCell ref="A134:D134"/>
    <mergeCell ref="A135:D135"/>
    <mergeCell ref="A136:D136"/>
    <mergeCell ref="A127:D127"/>
    <mergeCell ref="A128:D128"/>
    <mergeCell ref="A129:D129"/>
    <mergeCell ref="A130:D130"/>
    <mergeCell ref="B479:H479"/>
    <mergeCell ref="B481:H481"/>
    <mergeCell ref="B144:E144"/>
    <mergeCell ref="F144:F147"/>
    <mergeCell ref="G144:G147"/>
    <mergeCell ref="H144:H147"/>
    <mergeCell ref="C145:E145"/>
    <mergeCell ref="D146:E146"/>
    <mergeCell ref="A132:D132"/>
    <mergeCell ref="B29:E29"/>
    <mergeCell ref="B27:H27"/>
    <mergeCell ref="B19:E19"/>
    <mergeCell ref="A21:E21"/>
    <mergeCell ref="A22:E22"/>
    <mergeCell ref="A23:E23"/>
    <mergeCell ref="A20:E20"/>
    <mergeCell ref="H106:H109"/>
    <mergeCell ref="C107:E107"/>
    <mergeCell ref="D108:E108"/>
    <mergeCell ref="B87:E87"/>
    <mergeCell ref="B89:E89"/>
    <mergeCell ref="F89:F92"/>
    <mergeCell ref="G89:G92"/>
    <mergeCell ref="H89:H92"/>
    <mergeCell ref="G488:H488"/>
    <mergeCell ref="A133:D133"/>
    <mergeCell ref="A31:A36"/>
    <mergeCell ref="A59:A63"/>
    <mergeCell ref="A89:A92"/>
    <mergeCell ref="A106:A110"/>
    <mergeCell ref="A117:A121"/>
    <mergeCell ref="B57:E57"/>
    <mergeCell ref="B59:E59"/>
    <mergeCell ref="B31:E31"/>
    <mergeCell ref="A131:D131"/>
    <mergeCell ref="B482:H482"/>
    <mergeCell ref="B471:H471"/>
    <mergeCell ref="B473:H473"/>
    <mergeCell ref="B475:H475"/>
    <mergeCell ref="B477:H477"/>
  </mergeCells>
  <pageMargins left="0.51181102362204722" right="0.31496062992125984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važeći sa amandmanima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2019-02-06T07:23:26Z</cp:lastPrinted>
  <dcterms:created xsi:type="dcterms:W3CDTF">2017-09-19T10:56:48Z</dcterms:created>
  <dcterms:modified xsi:type="dcterms:W3CDTF">2019-02-26T10:50:17Z</dcterms:modified>
</cp:coreProperties>
</file>