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risnik\Desktop\Nova mapa\"/>
    </mc:Choice>
  </mc:AlternateContent>
  <bookViews>
    <workbookView xWindow="480" yWindow="105" windowWidth="24240" windowHeight="13620"/>
  </bookViews>
  <sheets>
    <sheet name="I. Izmjene" sheetId="10" r:id="rId1"/>
  </sheets>
  <calcPr calcId="162913"/>
</workbook>
</file>

<file path=xl/calcChain.xml><?xml version="1.0" encoding="utf-8"?>
<calcChain xmlns="http://schemas.openxmlformats.org/spreadsheetml/2006/main">
  <c r="H298" i="10" l="1"/>
  <c r="G211" i="10" l="1"/>
  <c r="G58" i="10"/>
  <c r="G77" i="10"/>
  <c r="G72" i="10"/>
  <c r="G90" i="10"/>
  <c r="G89" i="10" s="1"/>
  <c r="G105" i="10"/>
  <c r="G86" i="10"/>
  <c r="G106" i="10"/>
  <c r="G76" i="10"/>
  <c r="G79" i="10"/>
  <c r="F106" i="10"/>
  <c r="G253" i="10"/>
  <c r="G343" i="10"/>
  <c r="G252" i="10"/>
  <c r="H312" i="10" l="1"/>
  <c r="F142" i="10" s="1"/>
  <c r="F298" i="10" l="1"/>
  <c r="F489" i="10"/>
  <c r="F264" i="10"/>
  <c r="H195" i="10"/>
  <c r="F195" i="10"/>
  <c r="H196" i="10"/>
  <c r="F143" i="10" s="1"/>
  <c r="F196" i="10"/>
  <c r="G411" i="10" l="1"/>
  <c r="G342" i="10"/>
  <c r="G341" i="10" s="1"/>
  <c r="H343" i="10"/>
  <c r="H342" i="10" s="1"/>
  <c r="H341" i="10" s="1"/>
  <c r="G54" i="10"/>
  <c r="G446" i="10"/>
  <c r="G348" i="10"/>
  <c r="G204" i="10"/>
  <c r="G101" i="10" l="1"/>
  <c r="H416" i="10"/>
  <c r="H415" i="10" s="1"/>
  <c r="H414" i="10" s="1"/>
  <c r="G415" i="10"/>
  <c r="G414" i="10"/>
  <c r="G412" i="10" s="1"/>
  <c r="H412" i="10" s="1"/>
  <c r="H91" i="10" l="1"/>
  <c r="H253" i="10"/>
  <c r="H102" i="10" l="1"/>
  <c r="G224" i="10"/>
  <c r="G48" i="10" l="1"/>
  <c r="H361" i="10" l="1"/>
  <c r="H440" i="10" l="1"/>
  <c r="G438" i="10"/>
  <c r="H390" i="10" l="1"/>
  <c r="G389" i="10"/>
  <c r="H389" i="10" s="1"/>
  <c r="G360" i="10"/>
  <c r="G359" i="10" s="1"/>
  <c r="H359" i="10" s="1"/>
  <c r="H212" i="10"/>
  <c r="G205" i="10"/>
  <c r="G200" i="10"/>
  <c r="G184" i="10"/>
  <c r="G52" i="10"/>
  <c r="H53" i="10"/>
  <c r="G388" i="10" l="1"/>
  <c r="H388" i="10" s="1"/>
  <c r="H360" i="10"/>
  <c r="G301" i="10"/>
  <c r="H366" i="10"/>
  <c r="H365" i="10" s="1"/>
  <c r="H364" i="10" s="1"/>
  <c r="G365" i="10"/>
  <c r="G364" i="10" s="1"/>
  <c r="G362" i="10" s="1"/>
  <c r="H362" i="10" s="1"/>
  <c r="H526" i="10" l="1"/>
  <c r="G525" i="10"/>
  <c r="H525" i="10"/>
  <c r="G524" i="10"/>
  <c r="H524" i="10"/>
  <c r="G522" i="10"/>
  <c r="H522" i="10"/>
  <c r="G520" i="10"/>
  <c r="G519" i="10" s="1"/>
  <c r="G517" i="10" s="1"/>
  <c r="G515" i="10"/>
  <c r="G514" i="10" s="1"/>
  <c r="G512" i="10" s="1"/>
  <c r="G510" i="10"/>
  <c r="G509" i="10" s="1"/>
  <c r="G507" i="10" s="1"/>
  <c r="H506" i="10"/>
  <c r="G505" i="10"/>
  <c r="H505" i="10"/>
  <c r="G504" i="10"/>
  <c r="H504" i="10"/>
  <c r="G502" i="10"/>
  <c r="H502" i="10"/>
  <c r="G500" i="10"/>
  <c r="H499" i="10"/>
  <c r="H498" i="10"/>
  <c r="G497" i="10"/>
  <c r="G492" i="10"/>
  <c r="G491" i="10" s="1"/>
  <c r="G488" i="10" s="1"/>
  <c r="H484" i="10"/>
  <c r="G483" i="10"/>
  <c r="H483" i="10"/>
  <c r="G482" i="10"/>
  <c r="H482" i="10"/>
  <c r="G480" i="10"/>
  <c r="H480" i="10"/>
  <c r="G478" i="10"/>
  <c r="G476" i="10"/>
  <c r="H472" i="10"/>
  <c r="G471" i="10"/>
  <c r="H471" i="10"/>
  <c r="G470" i="10"/>
  <c r="H470" i="10"/>
  <c r="H469" i="10"/>
  <c r="G468" i="10"/>
  <c r="H468" i="10"/>
  <c r="G467" i="10"/>
  <c r="H467" i="10"/>
  <c r="H464" i="10"/>
  <c r="H463" i="10"/>
  <c r="G462" i="10"/>
  <c r="H461" i="10"/>
  <c r="H459" i="10"/>
  <c r="G458" i="10"/>
  <c r="H449" i="10"/>
  <c r="G448" i="10"/>
  <c r="H448" i="10"/>
  <c r="H447" i="10" s="1"/>
  <c r="G447" i="10"/>
  <c r="G445" i="10"/>
  <c r="G444" i="10" s="1"/>
  <c r="G437" i="10"/>
  <c r="G435" i="10" s="1"/>
  <c r="H434" i="10"/>
  <c r="G433" i="10"/>
  <c r="H433" i="10"/>
  <c r="G432" i="10"/>
  <c r="H432" i="10"/>
  <c r="G430" i="10"/>
  <c r="H430" i="10"/>
  <c r="G428" i="10"/>
  <c r="G427" i="10" s="1"/>
  <c r="G425" i="10" s="1"/>
  <c r="G423" i="10"/>
  <c r="G422" i="10" s="1"/>
  <c r="G420" i="10" s="1"/>
  <c r="H411" i="10"/>
  <c r="G410" i="10"/>
  <c r="H410" i="10"/>
  <c r="G409" i="10"/>
  <c r="H409" i="10"/>
  <c r="G407" i="10"/>
  <c r="H407" i="10"/>
  <c r="H406" i="10"/>
  <c r="G405" i="10"/>
  <c r="H405" i="10"/>
  <c r="G404" i="10"/>
  <c r="H404" i="10"/>
  <c r="G402" i="10"/>
  <c r="H402" i="10"/>
  <c r="G400" i="10"/>
  <c r="G399" i="10" s="1"/>
  <c r="H396" i="10"/>
  <c r="G395" i="10"/>
  <c r="H395" i="10"/>
  <c r="G394" i="10"/>
  <c r="H394" i="10"/>
  <c r="G391" i="10"/>
  <c r="H391" i="10"/>
  <c r="H392" i="10" s="1"/>
  <c r="H387" i="10"/>
  <c r="G386" i="10"/>
  <c r="H386" i="10"/>
  <c r="G385" i="10"/>
  <c r="G383" i="10" s="1"/>
  <c r="H385" i="10"/>
  <c r="H383" i="10" s="1"/>
  <c r="H382" i="10"/>
  <c r="G380" i="10"/>
  <c r="G379" i="10" s="1"/>
  <c r="G377" i="10" s="1"/>
  <c r="H376" i="10"/>
  <c r="H375" i="10"/>
  <c r="G374" i="10"/>
  <c r="G373" i="10" s="1"/>
  <c r="G370" i="10" s="1"/>
  <c r="H358" i="10"/>
  <c r="G357" i="10"/>
  <c r="H357" i="10"/>
  <c r="G356" i="10"/>
  <c r="G354" i="10" s="1"/>
  <c r="H356" i="10"/>
  <c r="H354" i="10" s="1"/>
  <c r="H353" i="10"/>
  <c r="G352" i="10"/>
  <c r="H352" i="10"/>
  <c r="G351" i="10"/>
  <c r="H351" i="10"/>
  <c r="G349" i="10"/>
  <c r="H349" i="10"/>
  <c r="H348" i="10"/>
  <c r="G347" i="10"/>
  <c r="H347" i="10"/>
  <c r="G346" i="10"/>
  <c r="H346" i="10"/>
  <c r="G344" i="10"/>
  <c r="H344" i="10"/>
  <c r="H340" i="10"/>
  <c r="G339" i="10"/>
  <c r="H339" i="10"/>
  <c r="G338" i="10"/>
  <c r="G336" i="10" s="1"/>
  <c r="H338" i="10"/>
  <c r="H336" i="10" s="1"/>
  <c r="H335" i="10"/>
  <c r="G334" i="10"/>
  <c r="H334" i="10"/>
  <c r="G333" i="10"/>
  <c r="H333" i="10"/>
  <c r="G331" i="10"/>
  <c r="H331" i="10"/>
  <c r="H330" i="10"/>
  <c r="G329" i="10"/>
  <c r="H329" i="10"/>
  <c r="G328" i="10"/>
  <c r="H328" i="10"/>
  <c r="G326" i="10"/>
  <c r="H326" i="10"/>
  <c r="H325" i="10"/>
  <c r="G322" i="10"/>
  <c r="G321" i="10" s="1"/>
  <c r="G318" i="10" s="1"/>
  <c r="H317" i="10"/>
  <c r="G314" i="10"/>
  <c r="G313" i="10" s="1"/>
  <c r="G310" i="10" s="1"/>
  <c r="H309" i="10"/>
  <c r="G308" i="10"/>
  <c r="H308" i="10"/>
  <c r="G307" i="10"/>
  <c r="H307" i="10"/>
  <c r="G305" i="10"/>
  <c r="H305" i="10"/>
  <c r="H302" i="10"/>
  <c r="H303" i="10"/>
  <c r="H304" i="10"/>
  <c r="G300" i="10"/>
  <c r="G299" i="10" s="1"/>
  <c r="G296" i="10" s="1"/>
  <c r="H295" i="10"/>
  <c r="G294" i="10"/>
  <c r="H294" i="10"/>
  <c r="G292" i="10"/>
  <c r="H285" i="10"/>
  <c r="G284" i="10"/>
  <c r="H284" i="10"/>
  <c r="G283" i="10"/>
  <c r="H283" i="10"/>
  <c r="G281" i="10"/>
  <c r="H281" i="10"/>
  <c r="H280" i="10"/>
  <c r="G279" i="10"/>
  <c r="H279" i="10"/>
  <c r="G278" i="10"/>
  <c r="H278" i="10"/>
  <c r="G276" i="10"/>
  <c r="H276" i="10"/>
  <c r="H275" i="10"/>
  <c r="G274" i="10"/>
  <c r="H274" i="10"/>
  <c r="G273" i="10"/>
  <c r="H273" i="10"/>
  <c r="G271" i="10"/>
  <c r="H271" i="10"/>
  <c r="G269" i="10"/>
  <c r="H268" i="10"/>
  <c r="G267" i="10"/>
  <c r="H267" i="10"/>
  <c r="H262" i="10"/>
  <c r="G261" i="10"/>
  <c r="H261" i="10"/>
  <c r="G260" i="10"/>
  <c r="H260" i="10"/>
  <c r="G258" i="10"/>
  <c r="H258" i="10"/>
  <c r="G217" i="10"/>
  <c r="G216" i="10" s="1"/>
  <c r="H254" i="10"/>
  <c r="H252" i="10" s="1"/>
  <c r="G251" i="10"/>
  <c r="H251" i="10"/>
  <c r="H250" i="10"/>
  <c r="H249" i="10"/>
  <c r="G248" i="10"/>
  <c r="G247" i="10" s="1"/>
  <c r="H244" i="10"/>
  <c r="G243" i="10"/>
  <c r="H243" i="10"/>
  <c r="G242" i="10"/>
  <c r="H242" i="10"/>
  <c r="H239" i="10"/>
  <c r="G238" i="10"/>
  <c r="H238" i="10"/>
  <c r="G237" i="10"/>
  <c r="H237" i="10"/>
  <c r="H234" i="10"/>
  <c r="G233" i="10"/>
  <c r="H233" i="10"/>
  <c r="G232" i="10"/>
  <c r="H232" i="10"/>
  <c r="G229" i="10"/>
  <c r="G222" i="10"/>
  <c r="H218" i="10"/>
  <c r="H217" i="10" s="1"/>
  <c r="H216" i="10" s="1"/>
  <c r="H215" i="10"/>
  <c r="G214" i="10"/>
  <c r="G210" i="10" s="1"/>
  <c r="H214" i="10"/>
  <c r="H213" i="10"/>
  <c r="H211" i="10" s="1"/>
  <c r="G208" i="10"/>
  <c r="G202" i="10"/>
  <c r="H206" i="10"/>
  <c r="G198" i="10"/>
  <c r="H201" i="10"/>
  <c r="G188" i="10"/>
  <c r="G187" i="10" s="1"/>
  <c r="G183" i="10"/>
  <c r="G182" i="10" s="1"/>
  <c r="G178" i="10"/>
  <c r="H172" i="10"/>
  <c r="H169" i="10"/>
  <c r="H168" i="10"/>
  <c r="G167" i="10"/>
  <c r="G170" i="10"/>
  <c r="G173" i="10"/>
  <c r="G132" i="10"/>
  <c r="H133" i="10"/>
  <c r="H132" i="10" s="1"/>
  <c r="G134" i="10"/>
  <c r="G131" i="10" s="1"/>
  <c r="H135" i="10"/>
  <c r="H134" i="10" s="1"/>
  <c r="H131" i="10" s="1"/>
  <c r="G121" i="10"/>
  <c r="H122" i="10"/>
  <c r="H121" i="10" s="1"/>
  <c r="H108" i="10"/>
  <c r="H107" i="10" s="1"/>
  <c r="H103" i="10"/>
  <c r="H101" i="10" s="1"/>
  <c r="G107" i="10"/>
  <c r="G104" i="10"/>
  <c r="G87" i="10"/>
  <c r="G85" i="10"/>
  <c r="G83" i="10"/>
  <c r="G80" i="10"/>
  <c r="G74" i="10"/>
  <c r="G70" i="10"/>
  <c r="G56" i="10"/>
  <c r="G47" i="10"/>
  <c r="G43" i="10"/>
  <c r="H81" i="10"/>
  <c r="H78" i="10"/>
  <c r="H57" i="10"/>
  <c r="H55" i="10"/>
  <c r="H49" i="10"/>
  <c r="H50" i="10"/>
  <c r="H45" i="10"/>
  <c r="H46" i="10"/>
  <c r="H497" i="10" l="1"/>
  <c r="H167" i="10"/>
  <c r="G465" i="10"/>
  <c r="G475" i="10"/>
  <c r="G473" i="10" s="1"/>
  <c r="G496" i="10"/>
  <c r="G494" i="10" s="1"/>
  <c r="G100" i="10"/>
  <c r="G18" i="10" s="1"/>
  <c r="G457" i="10"/>
  <c r="G453" i="10" s="1"/>
  <c r="G197" i="10"/>
  <c r="H248" i="10"/>
  <c r="H247" i="10" s="1"/>
  <c r="H245" i="10" s="1"/>
  <c r="H462" i="10"/>
  <c r="G487" i="10"/>
  <c r="G485" i="10" s="1"/>
  <c r="H374" i="10"/>
  <c r="H373" i="10" s="1"/>
  <c r="H370" i="10" s="1"/>
  <c r="H210" i="10"/>
  <c r="H465" i="10"/>
  <c r="G266" i="10"/>
  <c r="G263" i="10" s="1"/>
  <c r="G257" i="10" s="1"/>
  <c r="G255" i="10" s="1"/>
  <c r="G291" i="10"/>
  <c r="G289" i="10" s="1"/>
  <c r="G288" i="10" s="1"/>
  <c r="G166" i="10"/>
  <c r="G164" i="10" s="1"/>
  <c r="F525" i="10"/>
  <c r="F524" i="10" s="1"/>
  <c r="F522" i="10" s="1"/>
  <c r="F521" i="10"/>
  <c r="F516" i="10"/>
  <c r="F511" i="10"/>
  <c r="F505" i="10"/>
  <c r="F504" i="10" s="1"/>
  <c r="F502" i="10" s="1"/>
  <c r="F501" i="10"/>
  <c r="H501" i="10" s="1"/>
  <c r="H500" i="10" s="1"/>
  <c r="H496" i="10" s="1"/>
  <c r="H494" i="10" s="1"/>
  <c r="F497" i="10"/>
  <c r="F493" i="10"/>
  <c r="H493" i="10" s="1"/>
  <c r="H492" i="10" s="1"/>
  <c r="H491" i="10" s="1"/>
  <c r="H488" i="10" s="1"/>
  <c r="H489" i="10" s="1"/>
  <c r="F483" i="10"/>
  <c r="F482" i="10" s="1"/>
  <c r="F480" i="10" s="1"/>
  <c r="F479" i="10"/>
  <c r="F477" i="10"/>
  <c r="F471" i="10"/>
  <c r="F470" i="10" s="1"/>
  <c r="F468" i="10"/>
  <c r="F467" i="10" s="1"/>
  <c r="F462" i="10"/>
  <c r="F460" i="10"/>
  <c r="H460" i="10" s="1"/>
  <c r="H458" i="10" s="1"/>
  <c r="H457" i="10" s="1"/>
  <c r="H453" i="10" s="1"/>
  <c r="H455" i="10" s="1"/>
  <c r="F448" i="10"/>
  <c r="F447" i="10" s="1"/>
  <c r="G441" i="10"/>
  <c r="G419" i="10" s="1"/>
  <c r="G417" i="10" s="1"/>
  <c r="F446" i="10"/>
  <c r="F439" i="10"/>
  <c r="F433" i="10"/>
  <c r="F432" i="10" s="1"/>
  <c r="F430" i="10" s="1"/>
  <c r="F429" i="10"/>
  <c r="F424" i="10"/>
  <c r="F410" i="10"/>
  <c r="F409" i="10" s="1"/>
  <c r="F407" i="10" s="1"/>
  <c r="F405" i="10"/>
  <c r="F404" i="10" s="1"/>
  <c r="F402" i="10" s="1"/>
  <c r="F401" i="10"/>
  <c r="G397" i="10"/>
  <c r="F395" i="10"/>
  <c r="F394" i="10" s="1"/>
  <c r="F391" i="10" s="1"/>
  <c r="F392" i="10" s="1"/>
  <c r="F386" i="10"/>
  <c r="F385" i="10" s="1"/>
  <c r="F383" i="10" s="1"/>
  <c r="F381" i="10"/>
  <c r="F374" i="10"/>
  <c r="F373" i="10" s="1"/>
  <c r="F370" i="10" s="1"/>
  <c r="F357" i="10"/>
  <c r="F356" i="10" s="1"/>
  <c r="F354" i="10" s="1"/>
  <c r="F352" i="10"/>
  <c r="F351" i="10" s="1"/>
  <c r="F349" i="10" s="1"/>
  <c r="F347" i="10"/>
  <c r="F346" i="10" s="1"/>
  <c r="F344" i="10" s="1"/>
  <c r="F339" i="10"/>
  <c r="F338" i="10" s="1"/>
  <c r="F336" i="10" s="1"/>
  <c r="F334" i="10"/>
  <c r="F333" i="10" s="1"/>
  <c r="F331" i="10" s="1"/>
  <c r="F329" i="10"/>
  <c r="F328" i="10" s="1"/>
  <c r="F326" i="10" s="1"/>
  <c r="F324" i="10"/>
  <c r="F323" i="10"/>
  <c r="H323" i="10" s="1"/>
  <c r="F316" i="10"/>
  <c r="H316" i="10" s="1"/>
  <c r="F315" i="10"/>
  <c r="H315" i="10" s="1"/>
  <c r="F308" i="10"/>
  <c r="F307" i="10" s="1"/>
  <c r="F305" i="10" s="1"/>
  <c r="F301" i="10"/>
  <c r="F294" i="10"/>
  <c r="F293" i="10"/>
  <c r="H293" i="10" s="1"/>
  <c r="H292" i="10" s="1"/>
  <c r="H291" i="10" s="1"/>
  <c r="H289" i="10" s="1"/>
  <c r="F284" i="10"/>
  <c r="F283" i="10" s="1"/>
  <c r="F281" i="10" s="1"/>
  <c r="F279" i="10"/>
  <c r="F278" i="10" s="1"/>
  <c r="F276" i="10" s="1"/>
  <c r="F274" i="10"/>
  <c r="F273" i="10" s="1"/>
  <c r="F271" i="10" s="1"/>
  <c r="F270" i="10"/>
  <c r="F267" i="10"/>
  <c r="F261" i="10"/>
  <c r="F260" i="10" s="1"/>
  <c r="F258" i="10" s="1"/>
  <c r="F252" i="10"/>
  <c r="F251" i="10" s="1"/>
  <c r="F248" i="10"/>
  <c r="F247" i="10" s="1"/>
  <c r="G245" i="10"/>
  <c r="F243" i="10"/>
  <c r="F242" i="10" s="1"/>
  <c r="F240" i="10" s="1"/>
  <c r="H240" i="10"/>
  <c r="G240" i="10"/>
  <c r="F238" i="10"/>
  <c r="F237" i="10" s="1"/>
  <c r="F235" i="10" s="1"/>
  <c r="H235" i="10"/>
  <c r="G235" i="10"/>
  <c r="F233" i="10"/>
  <c r="F232" i="10" s="1"/>
  <c r="F231" i="10"/>
  <c r="F230" i="10"/>
  <c r="H230" i="10" s="1"/>
  <c r="G228" i="10"/>
  <c r="G226" i="10" s="1"/>
  <c r="F225" i="10"/>
  <c r="F224" i="10"/>
  <c r="H224" i="10" s="1"/>
  <c r="F223" i="10"/>
  <c r="H223" i="10" s="1"/>
  <c r="G221" i="10"/>
  <c r="G219" i="10" s="1"/>
  <c r="F217" i="10"/>
  <c r="F216" i="10" s="1"/>
  <c r="F214" i="10"/>
  <c r="F211" i="10"/>
  <c r="F209" i="10"/>
  <c r="H209" i="10" s="1"/>
  <c r="H208" i="10" s="1"/>
  <c r="F207" i="10"/>
  <c r="H207" i="10" s="1"/>
  <c r="F205" i="10"/>
  <c r="H205" i="10" s="1"/>
  <c r="F204" i="10"/>
  <c r="H204" i="10" s="1"/>
  <c r="F203" i="10"/>
  <c r="F200" i="10"/>
  <c r="H200" i="10" s="1"/>
  <c r="F199" i="10"/>
  <c r="H199" i="10" s="1"/>
  <c r="F189" i="10"/>
  <c r="G185" i="10"/>
  <c r="F184" i="10"/>
  <c r="G180" i="10"/>
  <c r="F179" i="10"/>
  <c r="G177" i="10"/>
  <c r="G175" i="10" s="1"/>
  <c r="F174" i="10"/>
  <c r="F171" i="10"/>
  <c r="F167" i="10"/>
  <c r="H143" i="10"/>
  <c r="H147" i="10" s="1"/>
  <c r="G143" i="10"/>
  <c r="G147" i="10" s="1"/>
  <c r="F134" i="10"/>
  <c r="F132" i="10"/>
  <c r="G25" i="10"/>
  <c r="F121" i="10"/>
  <c r="F120" i="10" s="1"/>
  <c r="F24" i="10" s="1"/>
  <c r="H120" i="10"/>
  <c r="H24" i="10" s="1"/>
  <c r="G120" i="10"/>
  <c r="G24" i="10" s="1"/>
  <c r="F107" i="10"/>
  <c r="H106" i="10"/>
  <c r="F105" i="10"/>
  <c r="H105" i="10" s="1"/>
  <c r="F101" i="10"/>
  <c r="F90" i="10"/>
  <c r="H90" i="10" s="1"/>
  <c r="H89" i="10" s="1"/>
  <c r="F88" i="10"/>
  <c r="H88" i="10" s="1"/>
  <c r="H87" i="10" s="1"/>
  <c r="F86" i="10"/>
  <c r="H86" i="10" s="1"/>
  <c r="H85" i="10" s="1"/>
  <c r="F84" i="10"/>
  <c r="H84" i="10" s="1"/>
  <c r="H83" i="10" s="1"/>
  <c r="F82" i="10"/>
  <c r="H82" i="10" s="1"/>
  <c r="H80" i="10" s="1"/>
  <c r="F79" i="10"/>
  <c r="H79" i="10" s="1"/>
  <c r="F77" i="10"/>
  <c r="H77" i="10" s="1"/>
  <c r="F76" i="10"/>
  <c r="H76" i="10" s="1"/>
  <c r="F75" i="10"/>
  <c r="F73" i="10"/>
  <c r="H73" i="10" s="1"/>
  <c r="F72" i="10"/>
  <c r="H72" i="10" s="1"/>
  <c r="F71" i="10"/>
  <c r="G69" i="10"/>
  <c r="G17" i="10" s="1"/>
  <c r="F59" i="10"/>
  <c r="H59" i="10" s="1"/>
  <c r="F58" i="10"/>
  <c r="F54" i="10"/>
  <c r="H54" i="10" s="1"/>
  <c r="H52" i="10" s="1"/>
  <c r="F51" i="10"/>
  <c r="H51" i="10" s="1"/>
  <c r="F48" i="10"/>
  <c r="F44" i="10"/>
  <c r="H44" i="10" s="1"/>
  <c r="H43" i="10" s="1"/>
  <c r="G42" i="10"/>
  <c r="G16" i="10" s="1"/>
  <c r="H25" i="10"/>
  <c r="H104" i="10" l="1"/>
  <c r="H100" i="10" s="1"/>
  <c r="H18" i="10" s="1"/>
  <c r="G452" i="10"/>
  <c r="G450" i="10" s="1"/>
  <c r="G194" i="10"/>
  <c r="G369" i="10"/>
  <c r="G367" i="10" s="1"/>
  <c r="F458" i="10"/>
  <c r="F492" i="10"/>
  <c r="F491" i="10" s="1"/>
  <c r="F488" i="10" s="1"/>
  <c r="G286" i="10"/>
  <c r="F198" i="10"/>
  <c r="F210" i="10"/>
  <c r="F476" i="10"/>
  <c r="H477" i="10"/>
  <c r="H476" i="10" s="1"/>
  <c r="F500" i="10"/>
  <c r="F496" i="10" s="1"/>
  <c r="F494" i="10" s="1"/>
  <c r="F510" i="10"/>
  <c r="F509" i="10" s="1"/>
  <c r="F507" i="10" s="1"/>
  <c r="H511" i="10"/>
  <c r="H510" i="10" s="1"/>
  <c r="H509" i="10" s="1"/>
  <c r="H507" i="10" s="1"/>
  <c r="F520" i="10"/>
  <c r="F519" i="10" s="1"/>
  <c r="F517" i="10" s="1"/>
  <c r="H521" i="10"/>
  <c r="H520" i="10" s="1"/>
  <c r="H519" i="10" s="1"/>
  <c r="H517" i="10" s="1"/>
  <c r="F314" i="10"/>
  <c r="F313" i="10" s="1"/>
  <c r="F310" i="10" s="1"/>
  <c r="F311" i="10" s="1"/>
  <c r="H314" i="10"/>
  <c r="H313" i="10" s="1"/>
  <c r="H310" i="10" s="1"/>
  <c r="H311" i="10" s="1"/>
  <c r="F445" i="10"/>
  <c r="F444" i="10" s="1"/>
  <c r="H446" i="10"/>
  <c r="H445" i="10" s="1"/>
  <c r="H444" i="10" s="1"/>
  <c r="H441" i="10" s="1"/>
  <c r="H442" i="10" s="1"/>
  <c r="F478" i="10"/>
  <c r="H479" i="10"/>
  <c r="H478" i="10" s="1"/>
  <c r="F515" i="10"/>
  <c r="F514" i="10" s="1"/>
  <c r="F512" i="10" s="1"/>
  <c r="H516" i="10"/>
  <c r="H515" i="10" s="1"/>
  <c r="H514" i="10" s="1"/>
  <c r="H512" i="10" s="1"/>
  <c r="G193" i="10"/>
  <c r="G191" i="10" s="1"/>
  <c r="F465" i="10"/>
  <c r="F423" i="10"/>
  <c r="F422" i="10" s="1"/>
  <c r="F420" i="10" s="1"/>
  <c r="H424" i="10"/>
  <c r="H423" i="10" s="1"/>
  <c r="H422" i="10" s="1"/>
  <c r="H420" i="10" s="1"/>
  <c r="F438" i="10"/>
  <c r="F437" i="10" s="1"/>
  <c r="F435" i="10" s="1"/>
  <c r="H439" i="10"/>
  <c r="F400" i="10"/>
  <c r="F399" i="10" s="1"/>
  <c r="F397" i="10" s="1"/>
  <c r="H401" i="10"/>
  <c r="H400" i="10" s="1"/>
  <c r="H399" i="10" s="1"/>
  <c r="H397" i="10" s="1"/>
  <c r="F428" i="10"/>
  <c r="F427" i="10" s="1"/>
  <c r="F425" i="10" s="1"/>
  <c r="H429" i="10"/>
  <c r="H428" i="10" s="1"/>
  <c r="H427" i="10" s="1"/>
  <c r="H425" i="10" s="1"/>
  <c r="F457" i="10"/>
  <c r="F453" i="10" s="1"/>
  <c r="F229" i="10"/>
  <c r="F228" i="10" s="1"/>
  <c r="F226" i="10" s="1"/>
  <c r="H231" i="10"/>
  <c r="H229" i="10" s="1"/>
  <c r="H228" i="10" s="1"/>
  <c r="H226" i="10" s="1"/>
  <c r="F300" i="10"/>
  <c r="F299" i="10" s="1"/>
  <c r="F296" i="10" s="1"/>
  <c r="F297" i="10" s="1"/>
  <c r="H301" i="10"/>
  <c r="H300" i="10" s="1"/>
  <c r="H299" i="10" s="1"/>
  <c r="H296" i="10" s="1"/>
  <c r="H297" i="10" s="1"/>
  <c r="F380" i="10"/>
  <c r="F379" i="10" s="1"/>
  <c r="F377" i="10" s="1"/>
  <c r="H381" i="10"/>
  <c r="H380" i="10" s="1"/>
  <c r="H379" i="10" s="1"/>
  <c r="H377" i="10" s="1"/>
  <c r="F80" i="10"/>
  <c r="F83" i="10"/>
  <c r="F85" i="10"/>
  <c r="F87" i="10"/>
  <c r="F89" i="10"/>
  <c r="F104" i="10"/>
  <c r="F100" i="10" s="1"/>
  <c r="F18" i="10" s="1"/>
  <c r="F131" i="10"/>
  <c r="F25" i="10" s="1"/>
  <c r="F26" i="10" s="1"/>
  <c r="F269" i="10"/>
  <c r="F266" i="10" s="1"/>
  <c r="F263" i="10" s="1"/>
  <c r="F257" i="10" s="1"/>
  <c r="F255" i="10" s="1"/>
  <c r="H270" i="10"/>
  <c r="H269" i="10" s="1"/>
  <c r="H266" i="10" s="1"/>
  <c r="H263" i="10" s="1"/>
  <c r="F292" i="10"/>
  <c r="F291" i="10" s="1"/>
  <c r="F289" i="10" s="1"/>
  <c r="F322" i="10"/>
  <c r="F321" i="10" s="1"/>
  <c r="F318" i="10" s="1"/>
  <c r="F319" i="10" s="1"/>
  <c r="H324" i="10"/>
  <c r="H322" i="10" s="1"/>
  <c r="H321" i="10" s="1"/>
  <c r="H318" i="10" s="1"/>
  <c r="H319" i="10" s="1"/>
  <c r="F245" i="10"/>
  <c r="F74" i="10"/>
  <c r="H75" i="10"/>
  <c r="H74" i="10" s="1"/>
  <c r="F170" i="10"/>
  <c r="H171" i="10"/>
  <c r="H170" i="10" s="1"/>
  <c r="G163" i="10"/>
  <c r="G161" i="10" s="1"/>
  <c r="G160" i="10" s="1"/>
  <c r="F178" i="10"/>
  <c r="F177" i="10" s="1"/>
  <c r="F175" i="10" s="1"/>
  <c r="H179" i="10"/>
  <c r="H178" i="10" s="1"/>
  <c r="H177" i="10" s="1"/>
  <c r="H175" i="10" s="1"/>
  <c r="F188" i="10"/>
  <c r="F187" i="10" s="1"/>
  <c r="F185" i="10" s="1"/>
  <c r="H189" i="10"/>
  <c r="H188" i="10" s="1"/>
  <c r="H187" i="10" s="1"/>
  <c r="H185" i="10" s="1"/>
  <c r="H198" i="10"/>
  <c r="F202" i="10"/>
  <c r="H203" i="10"/>
  <c r="H202" i="10" s="1"/>
  <c r="F208" i="10"/>
  <c r="F43" i="10"/>
  <c r="F47" i="10"/>
  <c r="H48" i="10"/>
  <c r="H47" i="10" s="1"/>
  <c r="F52" i="10"/>
  <c r="F56" i="10"/>
  <c r="H58" i="10"/>
  <c r="H56" i="10" s="1"/>
  <c r="F70" i="10"/>
  <c r="H71" i="10"/>
  <c r="H70" i="10" s="1"/>
  <c r="F173" i="10"/>
  <c r="H174" i="10"/>
  <c r="H173" i="10" s="1"/>
  <c r="F183" i="10"/>
  <c r="F182" i="10" s="1"/>
  <c r="F180" i="10" s="1"/>
  <c r="H184" i="10"/>
  <c r="H183" i="10" s="1"/>
  <c r="H182" i="10" s="1"/>
  <c r="H180" i="10" s="1"/>
  <c r="F222" i="10"/>
  <c r="F221" i="10" s="1"/>
  <c r="F219" i="10" s="1"/>
  <c r="H225" i="10"/>
  <c r="H222" i="10" s="1"/>
  <c r="H221" i="10" s="1"/>
  <c r="H219" i="10" s="1"/>
  <c r="H26" i="10"/>
  <c r="G26" i="10"/>
  <c r="G19" i="10"/>
  <c r="F441" i="10"/>
  <c r="H257" i="10" l="1"/>
  <c r="H255" i="10" s="1"/>
  <c r="H264" i="10"/>
  <c r="F139" i="10" s="1"/>
  <c r="F147" i="10" s="1"/>
  <c r="H369" i="10"/>
  <c r="H367" i="10" s="1"/>
  <c r="F419" i="10"/>
  <c r="F417" i="10" s="1"/>
  <c r="F442" i="10"/>
  <c r="H69" i="10"/>
  <c r="H17" i="10" s="1"/>
  <c r="F369" i="10"/>
  <c r="F367" i="10" s="1"/>
  <c r="H475" i="10"/>
  <c r="H473" i="10" s="1"/>
  <c r="H452" i="10" s="1"/>
  <c r="H450" i="10" s="1"/>
  <c r="F487" i="10"/>
  <c r="F485" i="10" s="1"/>
  <c r="H288" i="10"/>
  <c r="H286" i="10" s="1"/>
  <c r="H438" i="10"/>
  <c r="H437" i="10" s="1"/>
  <c r="H435" i="10" s="1"/>
  <c r="H419" i="10" s="1"/>
  <c r="H417" i="10" s="1"/>
  <c r="F166" i="10"/>
  <c r="F164" i="10" s="1"/>
  <c r="F163" i="10" s="1"/>
  <c r="F161" i="10" s="1"/>
  <c r="F160" i="10" s="1"/>
  <c r="H487" i="10"/>
  <c r="H485" i="10" s="1"/>
  <c r="F288" i="10"/>
  <c r="F286" i="10" s="1"/>
  <c r="F475" i="10"/>
  <c r="F473" i="10" s="1"/>
  <c r="F452" i="10" s="1"/>
  <c r="F450" i="10" s="1"/>
  <c r="F69" i="10"/>
  <c r="F17" i="10" s="1"/>
  <c r="H197" i="10"/>
  <c r="H194" i="10" s="1"/>
  <c r="H193" i="10" s="1"/>
  <c r="H191" i="10" s="1"/>
  <c r="F197" i="10"/>
  <c r="F194" i="10" s="1"/>
  <c r="H42" i="10"/>
  <c r="H16" i="10" s="1"/>
  <c r="F42" i="10"/>
  <c r="F16" i="10" s="1"/>
  <c r="H166" i="10"/>
  <c r="H164" i="10" s="1"/>
  <c r="H163" i="10" s="1"/>
  <c r="H161" i="10" s="1"/>
  <c r="H160" i="10" s="1"/>
  <c r="G190" i="10"/>
  <c r="F19" i="10" l="1"/>
  <c r="H19" i="10"/>
  <c r="H190" i="10"/>
  <c r="F193" i="10"/>
  <c r="F191" i="10" s="1"/>
  <c r="F190" i="10" s="1"/>
</calcChain>
</file>

<file path=xl/sharedStrings.xml><?xml version="1.0" encoding="utf-8"?>
<sst xmlns="http://schemas.openxmlformats.org/spreadsheetml/2006/main" count="575" uniqueCount="234">
  <si>
    <t>Razred</t>
  </si>
  <si>
    <t>RAZDJEL 001 - OPĆINSKI NAČELNIK I OPĆINSKO VIJEĆE</t>
  </si>
  <si>
    <t>GLAVA 00101 - OPĆINSKI NAČELNIK I OPĆINSKO VIJEĆE</t>
  </si>
  <si>
    <t>Funkcijska klasifikacija: 01 Opće javne usluge</t>
  </si>
  <si>
    <t>Program 1001: Donošenje akata i mjera iz djelokruga predstavničkog i izvršnog tijela</t>
  </si>
  <si>
    <t>A100001: Predstavnička i izvršna tijela</t>
  </si>
  <si>
    <t>RASHODI POSLOVANJA</t>
  </si>
  <si>
    <t>Rashodi za zaposlene</t>
  </si>
  <si>
    <t>Plaće - načelnik</t>
  </si>
  <si>
    <t>Ostali rashodi za zaposlene</t>
  </si>
  <si>
    <t>Doprinosi na plaće</t>
  </si>
  <si>
    <t>Materijalni rashodi</t>
  </si>
  <si>
    <t>Naknade troškova zaposlenima</t>
  </si>
  <si>
    <t>Rashodi za usluge</t>
  </si>
  <si>
    <t>Ostali nespomenuti rashodi poslovanja</t>
  </si>
  <si>
    <t>Ostali rashodi</t>
  </si>
  <si>
    <t>A100002: Dani Općine</t>
  </si>
  <si>
    <t>RAZDJEL 002 - JEDINSTVENI UPRAVNI ODJEL</t>
  </si>
  <si>
    <t>GLAVA 00201 - JEDINSTVENI UPRAVNI ODJEL</t>
  </si>
  <si>
    <t>Program: 1002 Priprema i donošenje akata iz djelokruga tijela</t>
  </si>
  <si>
    <t>A100003: Administrativno, tehničko i stručno osoblje</t>
  </si>
  <si>
    <t>Plaće</t>
  </si>
  <si>
    <t>Rashodi za materijal i energiju</t>
  </si>
  <si>
    <t>Financijski rashodi</t>
  </si>
  <si>
    <t>Ostali financijski rashodi</t>
  </si>
  <si>
    <t>A100004: Održavanje zgrada za redovno korištenje</t>
  </si>
  <si>
    <t>A100005: Održavanje plovila i stočnih vaga za redovno korištenje</t>
  </si>
  <si>
    <t>GLAVA 00202 - CIVILNA I PROTUPOŽARNA ZAŠTITA</t>
  </si>
  <si>
    <t>Funkcijska klasifikacija: 03 Javni red i sigurnost</t>
  </si>
  <si>
    <t>Izvor: 01 Opći prihodi i primici</t>
  </si>
  <si>
    <t>Tekuće donacije</t>
  </si>
  <si>
    <t>A100007: Protupožarna zaštita</t>
  </si>
  <si>
    <t>Pomoći dane u inozemstvo i unutar općeg proračuna</t>
  </si>
  <si>
    <t>Pomoći unutar općeg proračuna</t>
  </si>
  <si>
    <t>GLAVA 00203 - GOSPODARSKE I KOMUNALNE DJELATNOSTI</t>
  </si>
  <si>
    <t>Funkcijska klasifikacija: 04 Ekonomski poslovi</t>
  </si>
  <si>
    <t>Program: 1004 Poticanje razvoja gospodarstva</t>
  </si>
  <si>
    <t>Subvencije</t>
  </si>
  <si>
    <t>Tekuće donacije - Civilno društvo i LAG Podravina</t>
  </si>
  <si>
    <t>RASHODI ZA NABAVU NEFINANCIJSKE IMOVINE</t>
  </si>
  <si>
    <t>Rashodi za nabavu proizvedene dugotrajne imovine</t>
  </si>
  <si>
    <t>K100002: Asfaltiranje cesta</t>
  </si>
  <si>
    <t>Ceste-asfaltiranje</t>
  </si>
  <si>
    <t>A100010: Bušenje ispod ceste</t>
  </si>
  <si>
    <t>Naknade građanima i kućanstvima</t>
  </si>
  <si>
    <t>Ostale naknade građanima i kućanstvima</t>
  </si>
  <si>
    <t>A100011: Održavanje cesta i drugih javnih površina</t>
  </si>
  <si>
    <t>A100012: Održavanje groblja</t>
  </si>
  <si>
    <t>Rashodi poslovanja</t>
  </si>
  <si>
    <t>Subvencije poljoprivrednicima</t>
  </si>
  <si>
    <t>Rashodi za nabavu nefinancijske imovine</t>
  </si>
  <si>
    <t>Građevinski objekti</t>
  </si>
  <si>
    <t>Rashodi za nabavu neproizvedene dugotrajne imovine</t>
  </si>
  <si>
    <t>Nematerijalna imovina</t>
  </si>
  <si>
    <t>GLAVA 00204 - KOMUNALNA INFRASTRUKTURA</t>
  </si>
  <si>
    <t>Funkcijska klasifikacija: 06 Usluge unapređenja stanovanja i zajednice</t>
  </si>
  <si>
    <t>A100013: Javna rasvjeta</t>
  </si>
  <si>
    <t>A100014: Komunalne usluge</t>
  </si>
  <si>
    <t>Funkcijska klasifikacija: 08 Rekreacija, kultura i religija</t>
  </si>
  <si>
    <t>Program: 1006 Razvoj sporta i rekreacije, promicanje kulture i religije</t>
  </si>
  <si>
    <t xml:space="preserve">A100015: Službe rekreacije i sporta </t>
  </si>
  <si>
    <t>A100018: Pomoć vjerskoj zajednici</t>
  </si>
  <si>
    <t>GLAVA 00206: JAVNE POTREBE U OBRAZOVANJU</t>
  </si>
  <si>
    <t>Funkcijska klasifikacija: 09 Obrazovanje</t>
  </si>
  <si>
    <t>Program: 1007 Program obrazovanja</t>
  </si>
  <si>
    <t>Proračunski korisnik: 48015 Dječji vrtić "Bregunica"</t>
  </si>
  <si>
    <t>Postrojenja i oprema</t>
  </si>
  <si>
    <t>Kamate za primljene kredite i zajmove</t>
  </si>
  <si>
    <t>IZDACI ZA FINANCIJSKU IMOVINU I OTPLATE ZAJMOVA</t>
  </si>
  <si>
    <t>Izdaci za otplatu glavnice primljenih kredita i zajmova</t>
  </si>
  <si>
    <t>Otplata glavnice primljenih kredita i zajmova od trgovačkih društava u javnom sektoru</t>
  </si>
  <si>
    <t>A100021: Osnovno obrazovanje</t>
  </si>
  <si>
    <t>Pomoći dane u inozemstvo i unutar opće države</t>
  </si>
  <si>
    <t>Ostale naknade građanima i kućanstvima iz proračuna</t>
  </si>
  <si>
    <t>GLAVA 00207: PROGRAMSKA DJELATNOST SOCIJALNE SKRBI</t>
  </si>
  <si>
    <t>Funkcijska klasifikacija: 10 Socijalna zaštita</t>
  </si>
  <si>
    <t>A100023: Gerontoprogram i drva za socijalno ugrožene obitelji</t>
  </si>
  <si>
    <t>A100025: Darovi za novorođenčad i božićni darovi</t>
  </si>
  <si>
    <t>A100032: Donacije Crvenom križu</t>
  </si>
  <si>
    <t>I. OPĆI DIO</t>
  </si>
  <si>
    <t>Članak 1.</t>
  </si>
  <si>
    <t>RAZLIKA - VIŠAK/MANJAK</t>
  </si>
  <si>
    <t>PRIMICI OD FINANCIJSKE IMOVINE I ZADUŽIVANJA</t>
  </si>
  <si>
    <t>NETO ZADUŽIVANJA/FINANCIRANJE</t>
  </si>
  <si>
    <t>Članak 2.</t>
  </si>
  <si>
    <t>A. RAČUN  PRIHODA I RASHODA</t>
  </si>
  <si>
    <t>Skupina</t>
  </si>
  <si>
    <t>Podskupina</t>
  </si>
  <si>
    <t>Naziv</t>
  </si>
  <si>
    <t>Prihodi poslovanja</t>
  </si>
  <si>
    <t>Prihodi od poreza</t>
  </si>
  <si>
    <t>Porezi na imovinu</t>
  </si>
  <si>
    <t>Porezi na robu i usluge</t>
  </si>
  <si>
    <t>Pomoći iz inozemstva (darovnice) i od subjekata unutar općeg proračuna</t>
  </si>
  <si>
    <t>Tekuće pomoći proračuna</t>
  </si>
  <si>
    <t>Tekuće pomoći HZZ i izvanproračunskih korisnika</t>
  </si>
  <si>
    <t>Pomoći izravnanja za decentralizirane funkcije</t>
  </si>
  <si>
    <t>Tek.pomoći iz drž.pro.temeljem prijenosa iz EU</t>
  </si>
  <si>
    <t>Prihodi od imovine</t>
  </si>
  <si>
    <t>Prihodi od nefinancijske imovine</t>
  </si>
  <si>
    <t>Prihodi od kamata za dane zajmove</t>
  </si>
  <si>
    <t>Prihodi od upravnih i administrativnih pristojbi, pristojbi po posebnim propisima i naknadama</t>
  </si>
  <si>
    <t>Upravne i administrativne pristojbe</t>
  </si>
  <si>
    <t>Prihodi po posebnim propisima</t>
  </si>
  <si>
    <t>Komunalni doprinos i naknade</t>
  </si>
  <si>
    <t>Plaće (bruto)</t>
  </si>
  <si>
    <t>Naknade ostalih troškova</t>
  </si>
  <si>
    <t>B. RAČUN FINANCIRANJA</t>
  </si>
  <si>
    <t>Primici od financijske imovine i zaduživanja</t>
  </si>
  <si>
    <t>Primljene otplate (povrati) glavnice danih zajmova</t>
  </si>
  <si>
    <t>Primici (povrati) glavnice zajmova danih neprofitnim organizacijama, građanima i kućanstvima</t>
  </si>
  <si>
    <t>Izdaci za financijsku imovinu i otplate zajmova</t>
  </si>
  <si>
    <t>Otplata glavnice primljenih zajmova od trgovačkih društava u javnom sektoru</t>
  </si>
  <si>
    <t>II. POSEBNI DIO</t>
  </si>
  <si>
    <t>Članak 3.</t>
  </si>
  <si>
    <t>Program: 1003 Organiziranje i provođenje zaštite i spašavanja</t>
  </si>
  <si>
    <t>A100006: Civilna zaštita</t>
  </si>
  <si>
    <t>A100008: Spriječavanje nasilja u obitelji te sajam mogućnosti</t>
  </si>
  <si>
    <t>A100035: Program zaštite divljači</t>
  </si>
  <si>
    <t>Program: 1005 Održavanje komunalne infrastrukture</t>
  </si>
  <si>
    <t xml:space="preserve">A100016: Službe kulture </t>
  </si>
  <si>
    <t>A100017: Usluga Bibliobusa</t>
  </si>
  <si>
    <t>A100019: Predškolski odgoj DV "BREGUNICA"</t>
  </si>
  <si>
    <t>A100020: Otplata dugoročnog kredita za izgradnju dječjeg vrtića</t>
  </si>
  <si>
    <t>Pomoći unutar opće države</t>
  </si>
  <si>
    <t>A100022: Troškovi prijevoza studentima i srednjoškolcima</t>
  </si>
  <si>
    <t>Program: 1008 Socijalna skrb te promicanje prava i interesa osoba s invaliditetom</t>
  </si>
  <si>
    <t xml:space="preserve">A100024: Donacije i ostali rashodi </t>
  </si>
  <si>
    <t>A100031: Donacije fizičkim osobama ostale donacije</t>
  </si>
  <si>
    <t>Članak 4.</t>
  </si>
  <si>
    <t>III. ZAVRŠNA ODREDBA</t>
  </si>
  <si>
    <t>Članak 5.</t>
  </si>
  <si>
    <t>OPĆINSKO VIJEĆE</t>
  </si>
  <si>
    <t>OPĆINE NOVO VIRJE</t>
  </si>
  <si>
    <t>Tekuće donacije - političke stranke, udruga općina</t>
  </si>
  <si>
    <t>Rashodi za nabavu nefinanc.imovine</t>
  </si>
  <si>
    <t>A100038: Energetski certifikat javne rasvjete</t>
  </si>
  <si>
    <t>Materijani rashodi</t>
  </si>
  <si>
    <t xml:space="preserve">Subvencije poljoprivrednicima </t>
  </si>
  <si>
    <t xml:space="preserve">A100009: Potpora poljoprivredi </t>
  </si>
  <si>
    <t xml:space="preserve">Subvencije trgovačkim društvima, poljoprivrednicima </t>
  </si>
  <si>
    <t>A100030: Naknada za troškove stanovanja i naknade umirovljenicima</t>
  </si>
  <si>
    <t xml:space="preserve">A100038: Zaštita na radu </t>
  </si>
  <si>
    <t xml:space="preserve">           Katarina Kozarić-Šabarić</t>
  </si>
  <si>
    <t>RASHODI ZA NABAVU PROIZVEDENE DUGOTRAJNE IMOVINE</t>
  </si>
  <si>
    <t xml:space="preserve">Izvor: 01 Opći prihodi i primici </t>
  </si>
  <si>
    <t>K100006: Opremanje dj. Igrališta Drenovica</t>
  </si>
  <si>
    <t xml:space="preserve">Doprinosi na plaće </t>
  </si>
  <si>
    <t xml:space="preserve">K100012: Izgradnja vodnokom. infrastrukture aglomeracije </t>
  </si>
  <si>
    <t>A100039: Projektna dokumentacija za ulice</t>
  </si>
  <si>
    <t>01</t>
  </si>
  <si>
    <t>Opći prihodi i primici</t>
  </si>
  <si>
    <t>02</t>
  </si>
  <si>
    <t>Doprinosi</t>
  </si>
  <si>
    <t>03</t>
  </si>
  <si>
    <t>Vlastiti prihodi</t>
  </si>
  <si>
    <t>04</t>
  </si>
  <si>
    <t>Prihodi za posebne namjene</t>
  </si>
  <si>
    <t>05</t>
  </si>
  <si>
    <t>Pomoći</t>
  </si>
  <si>
    <t>06</t>
  </si>
  <si>
    <t>Donacije</t>
  </si>
  <si>
    <t>07</t>
  </si>
  <si>
    <t>08</t>
  </si>
  <si>
    <t>Namjenski primici</t>
  </si>
  <si>
    <t>Šifre izvora financiranja</t>
  </si>
  <si>
    <t>Projekcija Proračuna za 2021.</t>
  </si>
  <si>
    <t>Prihodi od prodaje ili zamjene nef. imovine i naknada s naslova osiguranja</t>
  </si>
  <si>
    <t>Ukupno po izvorima:</t>
  </si>
  <si>
    <t>Izvor: 05 Pomoći</t>
  </si>
  <si>
    <t xml:space="preserve">Porez i prirez na dohodak </t>
  </si>
  <si>
    <t>Izvor financiranja</t>
  </si>
  <si>
    <t>6) PRIHODI POSLOVANJA</t>
  </si>
  <si>
    <t>3) RASHODI POSLOVANJA</t>
  </si>
  <si>
    <t>4) RASHODI ZA NABAVU NEFINANCIJSKE IMOVINE</t>
  </si>
  <si>
    <t>8) PRIMICI OD FINANCIJSKE IMOVINE I ZADUŽIVANJA</t>
  </si>
  <si>
    <t>A. RAČUN PRIHODA I RASHODA</t>
  </si>
  <si>
    <t>A100047: Istražni radovi i plan sanacije odlagalište otpada</t>
  </si>
  <si>
    <t>A100036: Imovinsko pravni odnosi za ceste</t>
  </si>
  <si>
    <t>A100027: Poticanje stjecanje znanja i vještina u poljoprivrednoj djelatnosti</t>
  </si>
  <si>
    <t>K100011: Kante za odvojeni otpad</t>
  </si>
  <si>
    <t>K100013: Mobilno reciklažno dvorište</t>
  </si>
  <si>
    <t>I PROJEKCIJE ZA 2021. I 2022. GODINU</t>
  </si>
  <si>
    <t>Proračun za 2020.</t>
  </si>
  <si>
    <t>Projekcija Proračuna za 2022.</t>
  </si>
  <si>
    <t xml:space="preserve">                        PREDSJEDNICA</t>
  </si>
  <si>
    <t>A100050: Izrada projektne dokumentacije vatrogasnih domova</t>
  </si>
  <si>
    <t>A100041: Gorska služba spašavanja</t>
  </si>
  <si>
    <t xml:space="preserve">T100004: Strategija, plan i registar imovine </t>
  </si>
  <si>
    <t>A100037: Projekt zaželi</t>
  </si>
  <si>
    <t>A100026: Izbori za predsjednika i parlament</t>
  </si>
  <si>
    <t>Rashodi za dodatna ulaganja na nefinancijskoj imovini</t>
  </si>
  <si>
    <t>Dodatna ulaganja na prijevoznim sredstvima</t>
  </si>
  <si>
    <t>5) IZDACI ZA FINANCIJSKU IMOVINU I OTPLATE ZAJMOVA</t>
  </si>
  <si>
    <t>A100051: Katastarsko-geodetska izmjera na području Općine</t>
  </si>
  <si>
    <t>Izdaci za dionice i udjele u glavnici</t>
  </si>
  <si>
    <t>Dionice i udjeli trg.društva u javnom sektoru</t>
  </si>
  <si>
    <t>Dionice i udjeli trg. društva u javnom sektoru</t>
  </si>
  <si>
    <t>01, 05</t>
  </si>
  <si>
    <t>01, 04</t>
  </si>
  <si>
    <t>01, 04, 05</t>
  </si>
  <si>
    <t>GLAVA 00205: DJELATNOST SPORTA, KULTURE I RELIGIJE</t>
  </si>
  <si>
    <t>Asfaltiranje dijelova nerazvrstanih cesta -Ločica, Šoštarec, Hatadi, Kovačević</t>
  </si>
  <si>
    <t>Asfaltiranje dijelova nerazvrstanih cesta -predio Ogredek i Trepče</t>
  </si>
  <si>
    <t>Asfaltiranje djela ulice Drenovica odvojak Živko</t>
  </si>
  <si>
    <t>A100053: Manifestacija tokom godine - Tamburijada</t>
  </si>
  <si>
    <t xml:space="preserve">K100014: Asfaltiranje cesta ŽC 2184 sufinanciranje </t>
  </si>
  <si>
    <t xml:space="preserve"> IZMJENE I DOPUNE PRORAČUNA OPĆINE NOVO VIRJE ZA 2020. GODINU</t>
  </si>
  <si>
    <t>Povećanje / Smanjenje</t>
  </si>
  <si>
    <t>Novi plan Proračuna za 2020.</t>
  </si>
  <si>
    <t>VIŠAK PRIHODA I PRIMITAKA</t>
  </si>
  <si>
    <t xml:space="preserve">            U članku 2. Prihodi i rashodi te primici i izdaci po ekonomskoj klasifikaciji utvrđeni u Računu prihoda i rashoda i Računu financiranja mijenjaju se u A. Računu prihoda i B. Računu financiranja, kako slijedi:</t>
  </si>
  <si>
    <t xml:space="preserve">            Izmjene Plana razvojnih programa Općine Novo Virje za 2020. godinu nalaze se u prilogu Proračuna i najegov su sastavni dio.</t>
  </si>
  <si>
    <t xml:space="preserve">            Ove Izmjene i dopune Proračuna stupaju na snagu osmog dana od dana objave u "Službenom glasniku Koprivničko - križevačke županije".</t>
  </si>
  <si>
    <t>VIŠAK SREDSTAVA IZ PROTEKLIH GODINA                                                                                                    1.872.111,94</t>
  </si>
  <si>
    <t>Izvor: 04 Prihodi za posebne namjene</t>
  </si>
  <si>
    <t xml:space="preserve">Rashodi za usluge </t>
  </si>
  <si>
    <t>A100054: Održavanje kanala oborinske odvodnje</t>
  </si>
  <si>
    <t xml:space="preserve">A100052: Izgradnja širokopojasne infr. za pristup internetu - sufinanciranje </t>
  </si>
  <si>
    <t>Izvor : 01 Opći prihodi i primici</t>
  </si>
  <si>
    <r>
      <t xml:space="preserve">            U Proračunu Općine Novo Virje za 2020. godinu i projekcijama za 2021. i 2022. godinu ("Službeni glasnik Koprivničko - križevačke županije" broj 22/19</t>
    </r>
    <r>
      <rPr>
        <sz val="10"/>
        <rFont val="Arial"/>
        <family val="2"/>
        <charset val="238"/>
      </rPr>
      <t>) (u daljnjem tekstu: Proračun) u članku 1. mijenjaju se: A. Račun prihoda i rashoda i B. Račun financiranja, kako slijedi:</t>
    </r>
  </si>
  <si>
    <t>RASHODI ZA NABAVU NEFINANCIJSKE  IMOVINE</t>
  </si>
  <si>
    <t>Prihodi od financijske imovine</t>
  </si>
  <si>
    <t>Mat.imovina prirodna bogatstva</t>
  </si>
  <si>
    <t>Kapitalne donacije</t>
  </si>
  <si>
    <t>Materijalna imovina prirodna bogatstva</t>
  </si>
  <si>
    <t>K100015: Izgradnja mosne vage</t>
  </si>
  <si>
    <t xml:space="preserve">Izvor : 05 Pomoći </t>
  </si>
  <si>
    <r>
      <t xml:space="preserve">            Rashodi poslovanja i rashodi za nabavu nefinancijske imovine u Izmjenama i dopunama Proračuna u ukupnoj svoti 6.401.321,16</t>
    </r>
    <r>
      <rPr>
        <sz val="10"/>
        <color rgb="FFC0000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kuna raspoređuju se po korisnicima i programima u Posebnom dijelu Izmjena i dopuna Proračuna, kako slijedi:</t>
    </r>
  </si>
  <si>
    <t>Izvor: 04 prihodi za posebne namjene</t>
  </si>
  <si>
    <t xml:space="preserve">Novo Virje, 29. svibnja 2020.                               </t>
  </si>
  <si>
    <t>KLASA:400-06/20-01/05</t>
  </si>
  <si>
    <t>URBROJ: 2137/22-20-1</t>
  </si>
  <si>
    <t xml:space="preserve">            Na temelju članka 39. Zakona o proračunu ("Narodne novine" broj 87/08, 136/12. i 15/15) i članka 29. Statuta Općine Novo Virje ("Službeni glasnik Koprivničko - križevačke županije" broj 6/13, 3/18. i 5/20), Općinsko vijeće Općine Novo Virje na 26. sjednici održanoj 29. svibnja 2020. godine donijelo je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</si>
</sst>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8"/>
      <name val="Arial"/>
      <family val="2"/>
      <charset val="1"/>
    </font>
    <font>
      <b/>
      <i/>
      <sz val="10"/>
      <name val="Arial"/>
      <family val="2"/>
      <charset val="1"/>
    </font>
    <font>
      <b/>
      <sz val="10"/>
      <name val="Arial"/>
      <family val="2"/>
      <charset val="1"/>
    </font>
    <font>
      <b/>
      <sz val="8"/>
      <color rgb="FF000000"/>
      <name val="Arial"/>
      <family val="2"/>
      <charset val="238"/>
    </font>
    <font>
      <sz val="9.5"/>
      <color rgb="FF000000"/>
      <name val="Arial"/>
      <family val="2"/>
      <charset val="238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  <charset val="238"/>
    </font>
    <font>
      <b/>
      <i/>
      <sz val="10"/>
      <name val="Arial"/>
      <family val="2"/>
    </font>
    <font>
      <sz val="10"/>
      <name val="Arial"/>
      <family val="2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7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rgb="FFC00000"/>
      <name val="Arial"/>
      <family val="2"/>
      <charset val="238"/>
    </font>
    <font>
      <sz val="11"/>
      <color rgb="FFC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3D69B"/>
        <bgColor rgb="FFDDD9C3"/>
      </patternFill>
    </fill>
    <fill>
      <patternFill patternType="solid">
        <fgColor rgb="FFBFBFBF"/>
        <bgColor rgb="FFC3D69B"/>
      </patternFill>
    </fill>
    <fill>
      <patternFill patternType="solid">
        <fgColor rgb="FFD9D9D9"/>
        <bgColor rgb="FFDDD9C3"/>
      </patternFill>
    </fill>
    <fill>
      <patternFill patternType="solid">
        <fgColor rgb="FFFCD5B5"/>
        <bgColor rgb="FFF2DCDB"/>
      </patternFill>
    </fill>
    <fill>
      <patternFill patternType="solid">
        <fgColor theme="9" tint="0.59999389629810485"/>
        <bgColor rgb="FFDDD9C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rgb="FFFCD5B5"/>
      </patternFill>
    </fill>
    <fill>
      <patternFill patternType="solid">
        <fgColor theme="9" tint="0.59999389629810485"/>
        <bgColor rgb="FFF2DCDB"/>
      </patternFill>
    </fill>
    <fill>
      <patternFill patternType="solid">
        <fgColor theme="0"/>
        <bgColor rgb="FFF2DCDB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6">
    <xf numFmtId="0" fontId="0" fillId="0" borderId="0" xfId="0"/>
    <xf numFmtId="0" fontId="3" fillId="0" borderId="0" xfId="1" applyFont="1"/>
    <xf numFmtId="0" fontId="0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 wrapText="1"/>
    </xf>
    <xf numFmtId="4" fontId="3" fillId="0" borderId="0" xfId="1" applyNumberFormat="1" applyFont="1"/>
    <xf numFmtId="0" fontId="2" fillId="0" borderId="0" xfId="1" applyFont="1"/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4" fillId="0" borderId="1" xfId="0" applyFont="1" applyBorder="1"/>
    <xf numFmtId="4" fontId="4" fillId="0" borderId="1" xfId="0" applyNumberFormat="1" applyFont="1" applyBorder="1"/>
    <xf numFmtId="0" fontId="5" fillId="0" borderId="1" xfId="0" applyFont="1" applyBorder="1"/>
    <xf numFmtId="4" fontId="5" fillId="0" borderId="1" xfId="0" applyNumberFormat="1" applyFont="1" applyBorder="1"/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5" fillId="0" borderId="0" xfId="0" applyFont="1" applyBorder="1"/>
    <xf numFmtId="0" fontId="5" fillId="0" borderId="0" xfId="0" applyFont="1" applyBorder="1" applyAlignment="1">
      <alignment wrapText="1"/>
    </xf>
    <xf numFmtId="4" fontId="5" fillId="0" borderId="0" xfId="0" applyNumberFormat="1" applyFont="1" applyBorder="1"/>
    <xf numFmtId="0" fontId="5" fillId="2" borderId="1" xfId="0" applyFont="1" applyFill="1" applyBorder="1"/>
    <xf numFmtId="4" fontId="4" fillId="2" borderId="1" xfId="0" applyNumberFormat="1" applyFont="1" applyFill="1" applyBorder="1"/>
    <xf numFmtId="0" fontId="5" fillId="3" borderId="1" xfId="0" applyFont="1" applyFill="1" applyBorder="1"/>
    <xf numFmtId="4" fontId="4" fillId="3" borderId="1" xfId="0" applyNumberFormat="1" applyFont="1" applyFill="1" applyBorder="1"/>
    <xf numFmtId="0" fontId="5" fillId="4" borderId="1" xfId="0" applyFont="1" applyFill="1" applyBorder="1"/>
    <xf numFmtId="4" fontId="4" fillId="4" borderId="1" xfId="0" applyNumberFormat="1" applyFont="1" applyFill="1" applyBorder="1"/>
    <xf numFmtId="0" fontId="5" fillId="0" borderId="5" xfId="0" applyFont="1" applyBorder="1"/>
    <xf numFmtId="0" fontId="3" fillId="5" borderId="1" xfId="0" applyFont="1" applyFill="1" applyBorder="1"/>
    <xf numFmtId="4" fontId="4" fillId="5" borderId="1" xfId="0" applyNumberFormat="1" applyFont="1" applyFill="1" applyBorder="1"/>
    <xf numFmtId="0" fontId="7" fillId="0" borderId="1" xfId="0" applyFont="1" applyBorder="1"/>
    <xf numFmtId="4" fontId="4" fillId="0" borderId="0" xfId="0" applyNumberFormat="1" applyFont="1" applyBorder="1"/>
    <xf numFmtId="0" fontId="3" fillId="0" borderId="1" xfId="0" applyFont="1" applyBorder="1"/>
    <xf numFmtId="0" fontId="2" fillId="0" borderId="1" xfId="0" applyFont="1" applyBorder="1"/>
    <xf numFmtId="0" fontId="3" fillId="0" borderId="0" xfId="0" applyFont="1" applyBorder="1"/>
    <xf numFmtId="0" fontId="3" fillId="0" borderId="5" xfId="0" applyFont="1" applyBorder="1"/>
    <xf numFmtId="0" fontId="8" fillId="0" borderId="1" xfId="0" applyFont="1" applyBorder="1"/>
    <xf numFmtId="0" fontId="2" fillId="0" borderId="0" xfId="0" applyFont="1" applyBorder="1"/>
    <xf numFmtId="0" fontId="3" fillId="2" borderId="6" xfId="0" applyFont="1" applyFill="1" applyBorder="1" applyAlignment="1">
      <alignment wrapText="1"/>
    </xf>
    <xf numFmtId="0" fontId="3" fillId="4" borderId="6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5" borderId="4" xfId="0" applyFont="1" applyFill="1" applyBorder="1" applyAlignment="1">
      <alignment wrapText="1"/>
    </xf>
    <xf numFmtId="0" fontId="2" fillId="0" borderId="5" xfId="0" applyFont="1" applyBorder="1"/>
    <xf numFmtId="0" fontId="3" fillId="5" borderId="1" xfId="0" applyFont="1" applyFill="1" applyBorder="1" applyAlignment="1">
      <alignment wrapText="1"/>
    </xf>
    <xf numFmtId="0" fontId="4" fillId="0" borderId="0" xfId="0" applyFont="1" applyBorder="1"/>
    <xf numFmtId="0" fontId="4" fillId="0" borderId="5" xfId="0" applyFont="1" applyBorder="1"/>
    <xf numFmtId="0" fontId="4" fillId="5" borderId="1" xfId="0" applyFont="1" applyFill="1" applyBorder="1"/>
    <xf numFmtId="0" fontId="6" fillId="0" borderId="1" xfId="0" applyFont="1" applyBorder="1"/>
    <xf numFmtId="0" fontId="2" fillId="0" borderId="1" xfId="0" applyFont="1" applyBorder="1" applyAlignment="1">
      <alignment wrapText="1"/>
    </xf>
    <xf numFmtId="0" fontId="6" fillId="0" borderId="0" xfId="0" applyFont="1" applyBorder="1"/>
    <xf numFmtId="0" fontId="4" fillId="5" borderId="1" xfId="0" applyFont="1" applyFill="1" applyBorder="1" applyAlignment="1">
      <alignment wrapText="1"/>
    </xf>
    <xf numFmtId="0" fontId="3" fillId="3" borderId="1" xfId="0" applyFont="1" applyFill="1" applyBorder="1"/>
    <xf numFmtId="0" fontId="3" fillId="4" borderId="1" xfId="0" applyFont="1" applyFill="1" applyBorder="1"/>
    <xf numFmtId="0" fontId="9" fillId="0" borderId="0" xfId="0" applyFont="1" applyFill="1" applyBorder="1"/>
    <xf numFmtId="0" fontId="2" fillId="0" borderId="0" xfId="0" applyFont="1" applyFill="1" applyBorder="1"/>
    <xf numFmtId="0" fontId="9" fillId="0" borderId="0" xfId="0" applyFont="1" applyBorder="1"/>
    <xf numFmtId="0" fontId="10" fillId="0" borderId="1" xfId="0" applyFont="1" applyBorder="1"/>
    <xf numFmtId="0" fontId="9" fillId="0" borderId="1" xfId="0" applyFont="1" applyBorder="1"/>
    <xf numFmtId="4" fontId="2" fillId="0" borderId="1" xfId="0" applyNumberFormat="1" applyFont="1" applyBorder="1"/>
    <xf numFmtId="0" fontId="4" fillId="0" borderId="0" xfId="0" applyFont="1" applyFill="1" applyBorder="1"/>
    <xf numFmtId="0" fontId="4" fillId="6" borderId="1" xfId="0" applyFont="1" applyFill="1" applyBorder="1" applyAlignment="1">
      <alignment wrapText="1"/>
    </xf>
    <xf numFmtId="4" fontId="4" fillId="6" borderId="1" xfId="0" applyNumberFormat="1" applyFont="1" applyFill="1" applyBorder="1"/>
    <xf numFmtId="0" fontId="4" fillId="7" borderId="1" xfId="0" applyFont="1" applyFill="1" applyBorder="1" applyAlignment="1">
      <alignment wrapText="1"/>
    </xf>
    <xf numFmtId="4" fontId="4" fillId="7" borderId="1" xfId="0" applyNumberFormat="1" applyFont="1" applyFill="1" applyBorder="1"/>
    <xf numFmtId="4" fontId="4" fillId="0" borderId="1" xfId="0" applyNumberFormat="1" applyFont="1" applyFill="1" applyBorder="1"/>
    <xf numFmtId="0" fontId="3" fillId="7" borderId="1" xfId="0" applyFont="1" applyFill="1" applyBorder="1"/>
    <xf numFmtId="4" fontId="3" fillId="5" borderId="1" xfId="0" applyNumberFormat="1" applyFont="1" applyFill="1" applyBorder="1"/>
    <xf numFmtId="0" fontId="11" fillId="0" borderId="1" xfId="0" applyFont="1" applyBorder="1" applyAlignment="1">
      <alignment wrapText="1"/>
    </xf>
    <xf numFmtId="0" fontId="5" fillId="0" borderId="0" xfId="0" applyFont="1" applyAlignment="1">
      <alignment horizontal="center"/>
    </xf>
    <xf numFmtId="4" fontId="5" fillId="0" borderId="0" xfId="0" applyNumberFormat="1" applyFont="1"/>
    <xf numFmtId="4" fontId="12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/>
    </xf>
    <xf numFmtId="0" fontId="5" fillId="0" borderId="1" xfId="0" applyFont="1" applyBorder="1" applyAlignment="1">
      <alignment shrinkToFit="1"/>
    </xf>
    <xf numFmtId="0" fontId="3" fillId="0" borderId="1" xfId="0" applyFont="1" applyBorder="1" applyAlignment="1">
      <alignment shrinkToFit="1"/>
    </xf>
    <xf numFmtId="0" fontId="13" fillId="0" borderId="0" xfId="0" applyFont="1" applyFill="1" applyBorder="1"/>
    <xf numFmtId="0" fontId="13" fillId="0" borderId="5" xfId="0" applyFont="1" applyFill="1" applyBorder="1"/>
    <xf numFmtId="0" fontId="13" fillId="7" borderId="1" xfId="0" applyFont="1" applyFill="1" applyBorder="1" applyAlignment="1">
      <alignment wrapText="1"/>
    </xf>
    <xf numFmtId="4" fontId="14" fillId="7" borderId="1" xfId="0" applyNumberFormat="1" applyFont="1" applyFill="1" applyBorder="1"/>
    <xf numFmtId="0" fontId="0" fillId="0" borderId="7" xfId="0" applyFill="1" applyBorder="1"/>
    <xf numFmtId="0" fontId="0" fillId="0" borderId="8" xfId="0" applyFill="1" applyBorder="1"/>
    <xf numFmtId="0" fontId="13" fillId="0" borderId="1" xfId="0" applyFont="1" applyFill="1" applyBorder="1"/>
    <xf numFmtId="0" fontId="13" fillId="0" borderId="1" xfId="0" applyFont="1" applyFill="1" applyBorder="1" applyAlignment="1">
      <alignment wrapText="1"/>
    </xf>
    <xf numFmtId="4" fontId="14" fillId="0" borderId="1" xfId="0" applyNumberFormat="1" applyFont="1" applyFill="1" applyBorder="1"/>
    <xf numFmtId="4" fontId="16" fillId="0" borderId="1" xfId="0" applyNumberFormat="1" applyFont="1" applyFill="1" applyBorder="1"/>
    <xf numFmtId="0" fontId="17" fillId="0" borderId="1" xfId="0" applyFont="1" applyFill="1" applyBorder="1"/>
    <xf numFmtId="0" fontId="2" fillId="0" borderId="1" xfId="0" applyFont="1" applyFill="1" applyBorder="1"/>
    <xf numFmtId="0" fontId="18" fillId="0" borderId="1" xfId="0" applyFont="1" applyFill="1" applyBorder="1"/>
    <xf numFmtId="4" fontId="15" fillId="0" borderId="1" xfId="0" applyNumberFormat="1" applyFont="1" applyFill="1" applyBorder="1"/>
    <xf numFmtId="0" fontId="2" fillId="0" borderId="1" xfId="0" applyFont="1" applyBorder="1" applyAlignment="1">
      <alignment shrinkToFit="1"/>
    </xf>
    <xf numFmtId="4" fontId="3" fillId="0" borderId="1" xfId="0" applyNumberFormat="1" applyFont="1" applyBorder="1"/>
    <xf numFmtId="4" fontId="3" fillId="0" borderId="1" xfId="1" applyNumberFormat="1" applyFont="1" applyBorder="1"/>
    <xf numFmtId="0" fontId="19" fillId="0" borderId="0" xfId="0" applyFont="1"/>
    <xf numFmtId="4" fontId="2" fillId="0" borderId="0" xfId="0" applyNumberFormat="1" applyFont="1" applyBorder="1"/>
    <xf numFmtId="0" fontId="3" fillId="7" borderId="1" xfId="0" applyFont="1" applyFill="1" applyBorder="1" applyAlignment="1">
      <alignment shrinkToFit="1"/>
    </xf>
    <xf numFmtId="0" fontId="2" fillId="0" borderId="4" xfId="0" applyFont="1" applyBorder="1"/>
    <xf numFmtId="0" fontId="3" fillId="0" borderId="4" xfId="0" applyFont="1" applyBorder="1" applyAlignment="1">
      <alignment wrapText="1"/>
    </xf>
    <xf numFmtId="0" fontId="3" fillId="7" borderId="1" xfId="0" applyFont="1" applyFill="1" applyBorder="1" applyAlignment="1">
      <alignment wrapText="1"/>
    </xf>
    <xf numFmtId="0" fontId="2" fillId="8" borderId="1" xfId="0" applyFont="1" applyFill="1" applyBorder="1"/>
    <xf numFmtId="4" fontId="4" fillId="8" borderId="1" xfId="0" applyNumberFormat="1" applyFont="1" applyFill="1" applyBorder="1"/>
    <xf numFmtId="0" fontId="0" fillId="8" borderId="0" xfId="0" applyFill="1"/>
    <xf numFmtId="0" fontId="20" fillId="0" borderId="0" xfId="0" applyFont="1"/>
    <xf numFmtId="4" fontId="5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9" xfId="0" applyFont="1" applyBorder="1" applyAlignment="1">
      <alignment horizontal="left"/>
    </xf>
    <xf numFmtId="0" fontId="11" fillId="0" borderId="1" xfId="0" applyFont="1" applyFill="1" applyBorder="1"/>
    <xf numFmtId="0" fontId="0" fillId="8" borderId="0" xfId="0" applyFont="1" applyFill="1"/>
    <xf numFmtId="4" fontId="5" fillId="8" borderId="0" xfId="0" applyNumberFormat="1" applyFont="1" applyFill="1"/>
    <xf numFmtId="0" fontId="21" fillId="0" borderId="0" xfId="0" applyFont="1"/>
    <xf numFmtId="0" fontId="7" fillId="0" borderId="2" xfId="0" applyFont="1" applyBorder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9" fillId="8" borderId="0" xfId="0" applyFont="1" applyFill="1"/>
    <xf numFmtId="4" fontId="5" fillId="8" borderId="1" xfId="0" applyNumberFormat="1" applyFont="1" applyFill="1" applyBorder="1"/>
    <xf numFmtId="4" fontId="23" fillId="0" borderId="1" xfId="0" applyNumberFormat="1" applyFont="1" applyBorder="1"/>
    <xf numFmtId="0" fontId="24" fillId="8" borderId="0" xfId="0" applyFont="1" applyFill="1"/>
    <xf numFmtId="4" fontId="23" fillId="8" borderId="0" xfId="0" applyNumberFormat="1" applyFont="1" applyFill="1"/>
    <xf numFmtId="0" fontId="3" fillId="7" borderId="6" xfId="0" applyFont="1" applyFill="1" applyBorder="1" applyAlignment="1">
      <alignment shrinkToFit="1"/>
    </xf>
    <xf numFmtId="4" fontId="16" fillId="7" borderId="1" xfId="0" applyNumberFormat="1" applyFont="1" applyFill="1" applyBorder="1"/>
    <xf numFmtId="49" fontId="25" fillId="0" borderId="1" xfId="0" applyNumberFormat="1" applyFont="1" applyBorder="1"/>
    <xf numFmtId="0" fontId="25" fillId="0" borderId="1" xfId="0" applyFont="1" applyBorder="1"/>
    <xf numFmtId="49" fontId="25" fillId="0" borderId="1" xfId="0" applyNumberFormat="1" applyFont="1" applyBorder="1" applyAlignment="1">
      <alignment wrapText="1"/>
    </xf>
    <xf numFmtId="49" fontId="25" fillId="0" borderId="0" xfId="0" applyNumberFormat="1" applyFont="1" applyBorder="1"/>
    <xf numFmtId="4" fontId="23" fillId="0" borderId="0" xfId="0" applyNumberFormat="1" applyFont="1" applyBorder="1"/>
    <xf numFmtId="0" fontId="21" fillId="0" borderId="1" xfId="0" applyFont="1" applyBorder="1"/>
    <xf numFmtId="0" fontId="4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4" fontId="4" fillId="0" borderId="5" xfId="0" applyNumberFormat="1" applyFont="1" applyBorder="1"/>
    <xf numFmtId="4" fontId="5" fillId="0" borderId="5" xfId="0" applyNumberFormat="1" applyFont="1" applyBorder="1"/>
    <xf numFmtId="0" fontId="3" fillId="3" borderId="6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/>
    </xf>
    <xf numFmtId="0" fontId="3" fillId="9" borderId="1" xfId="0" applyFont="1" applyFill="1" applyBorder="1"/>
    <xf numFmtId="4" fontId="4" fillId="9" borderId="1" xfId="0" applyNumberFormat="1" applyFont="1" applyFill="1" applyBorder="1"/>
    <xf numFmtId="0" fontId="3" fillId="10" borderId="1" xfId="0" applyFont="1" applyFill="1" applyBorder="1"/>
    <xf numFmtId="0" fontId="17" fillId="0" borderId="6" xfId="0" applyFont="1" applyFill="1" applyBorder="1"/>
    <xf numFmtId="0" fontId="2" fillId="0" borderId="9" xfId="0" applyFont="1" applyFill="1" applyBorder="1"/>
    <xf numFmtId="0" fontId="2" fillId="0" borderId="6" xfId="0" applyFont="1" applyFill="1" applyBorder="1"/>
    <xf numFmtId="0" fontId="5" fillId="0" borderId="1" xfId="0" applyFont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4" fontId="4" fillId="3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vertical="center" wrapText="1"/>
    </xf>
    <xf numFmtId="4" fontId="4" fillId="4" borderId="1" xfId="0" applyNumberFormat="1" applyFont="1" applyFill="1" applyBorder="1" applyAlignment="1">
      <alignment vertical="center"/>
    </xf>
    <xf numFmtId="0" fontId="2" fillId="8" borderId="0" xfId="0" applyFont="1" applyFill="1"/>
    <xf numFmtId="0" fontId="0" fillId="0" borderId="1" xfId="0" applyBorder="1"/>
    <xf numFmtId="0" fontId="22" fillId="0" borderId="1" xfId="0" applyFont="1" applyBorder="1" applyAlignment="1">
      <alignment horizontal="center" vertical="center" textRotation="90" shrinkToFit="1"/>
    </xf>
    <xf numFmtId="0" fontId="4" fillId="0" borderId="0" xfId="0" applyFont="1" applyBorder="1" applyAlignment="1">
      <alignment horizontal="left"/>
    </xf>
    <xf numFmtId="0" fontId="5" fillId="0" borderId="1" xfId="0" applyFont="1" applyBorder="1" applyAlignment="1">
      <alignment wrapText="1"/>
    </xf>
    <xf numFmtId="0" fontId="3" fillId="0" borderId="0" xfId="1" applyFont="1" applyBorder="1" applyAlignment="1">
      <alignment horizontal="left"/>
    </xf>
    <xf numFmtId="4" fontId="5" fillId="0" borderId="1" xfId="0" applyNumberFormat="1" applyFont="1" applyBorder="1" applyAlignment="1">
      <alignment horizontal="center" vertical="center" wrapText="1"/>
    </xf>
    <xf numFmtId="0" fontId="27" fillId="8" borderId="0" xfId="0" applyFont="1" applyFill="1"/>
    <xf numFmtId="0" fontId="5" fillId="0" borderId="1" xfId="0" applyFont="1" applyBorder="1" applyAlignment="1">
      <alignment vertical="center" wrapText="1"/>
    </xf>
    <xf numFmtId="4" fontId="15" fillId="7" borderId="1" xfId="0" applyNumberFormat="1" applyFont="1" applyFill="1" applyBorder="1"/>
    <xf numFmtId="0" fontId="7" fillId="0" borderId="4" xfId="0" applyFont="1" applyBorder="1"/>
    <xf numFmtId="4" fontId="4" fillId="11" borderId="1" xfId="0" applyNumberFormat="1" applyFont="1" applyFill="1" applyBorder="1"/>
    <xf numFmtId="0" fontId="7" fillId="11" borderId="1" xfId="0" applyFont="1" applyFill="1" applyBorder="1" applyAlignment="1">
      <alignment vertical="center" wrapText="1"/>
    </xf>
    <xf numFmtId="0" fontId="3" fillId="8" borderId="1" xfId="0" applyFont="1" applyFill="1" applyBorder="1"/>
    <xf numFmtId="0" fontId="3" fillId="8" borderId="9" xfId="0" applyFont="1" applyFill="1" applyBorder="1"/>
    <xf numFmtId="0" fontId="2" fillId="8" borderId="9" xfId="0" applyFont="1" applyFill="1" applyBorder="1"/>
    <xf numFmtId="4" fontId="16" fillId="8" borderId="1" xfId="0" applyNumberFormat="1" applyFont="1" applyFill="1" applyBorder="1"/>
    <xf numFmtId="0" fontId="5" fillId="0" borderId="1" xfId="0" applyFont="1" applyBorder="1" applyAlignment="1">
      <alignment wrapText="1"/>
    </xf>
    <xf numFmtId="4" fontId="3" fillId="8" borderId="1" xfId="1" applyNumberFormat="1" applyFont="1" applyFill="1" applyBorder="1"/>
    <xf numFmtId="0" fontId="7" fillId="0" borderId="1" xfId="0" applyFont="1" applyBorder="1" applyAlignment="1">
      <alignment wrapText="1"/>
    </xf>
    <xf numFmtId="0" fontId="2" fillId="0" borderId="10" xfId="0" applyFont="1" applyBorder="1"/>
    <xf numFmtId="0" fontId="2" fillId="0" borderId="11" xfId="0" applyFont="1" applyBorder="1"/>
    <xf numFmtId="0" fontId="2" fillId="0" borderId="8" xfId="0" applyFont="1" applyBorder="1"/>
    <xf numFmtId="0" fontId="2" fillId="0" borderId="7" xfId="0" applyFont="1" applyBorder="1"/>
    <xf numFmtId="49" fontId="25" fillId="0" borderId="4" xfId="0" applyNumberFormat="1" applyFont="1" applyBorder="1"/>
    <xf numFmtId="0" fontId="6" fillId="0" borderId="11" xfId="0" applyFont="1" applyBorder="1"/>
    <xf numFmtId="0" fontId="6" fillId="8" borderId="7" xfId="0" applyFont="1" applyFill="1" applyBorder="1"/>
    <xf numFmtId="0" fontId="2" fillId="8" borderId="8" xfId="0" applyFont="1" applyFill="1" applyBorder="1"/>
    <xf numFmtId="0" fontId="2" fillId="0" borderId="10" xfId="0" applyFont="1" applyFill="1" applyBorder="1"/>
    <xf numFmtId="0" fontId="2" fillId="0" borderId="11" xfId="0" applyFont="1" applyFill="1" applyBorder="1"/>
    <xf numFmtId="0" fontId="17" fillId="0" borderId="11" xfId="0" applyFont="1" applyFill="1" applyBorder="1"/>
    <xf numFmtId="0" fontId="0" fillId="0" borderId="0" xfId="0" applyBorder="1"/>
    <xf numFmtId="0" fontId="17" fillId="0" borderId="7" xfId="0" applyFont="1" applyFill="1" applyBorder="1"/>
    <xf numFmtId="0" fontId="2" fillId="0" borderId="8" xfId="0" applyFont="1" applyFill="1" applyBorder="1"/>
    <xf numFmtId="0" fontId="2" fillId="0" borderId="7" xfId="0" applyFont="1" applyFill="1" applyBorder="1"/>
    <xf numFmtId="0" fontId="26" fillId="8" borderId="0" xfId="0" applyFont="1" applyFill="1"/>
    <xf numFmtId="0" fontId="3" fillId="0" borderId="1" xfId="1" applyFont="1" applyBorder="1" applyAlignment="1">
      <alignment horizontal="left"/>
    </xf>
    <xf numFmtId="0" fontId="2" fillId="0" borderId="0" xfId="1" applyFont="1" applyBorder="1" applyAlignment="1">
      <alignment horizontal="left" wrapText="1"/>
    </xf>
    <xf numFmtId="0" fontId="3" fillId="0" borderId="0" xfId="1" applyFont="1" applyBorder="1" applyAlignment="1">
      <alignment horizontal="left"/>
    </xf>
    <xf numFmtId="0" fontId="2" fillId="0" borderId="0" xfId="1" applyFont="1" applyBorder="1" applyAlignment="1">
      <alignment horizontal="center"/>
    </xf>
    <xf numFmtId="0" fontId="0" fillId="0" borderId="1" xfId="0" applyBorder="1"/>
    <xf numFmtId="0" fontId="3" fillId="0" borderId="1" xfId="1" applyFont="1" applyBorder="1" applyAlignment="1"/>
    <xf numFmtId="0" fontId="0" fillId="0" borderId="1" xfId="0" applyBorder="1" applyAlignment="1">
      <alignment horizontal="center"/>
    </xf>
    <xf numFmtId="0" fontId="2" fillId="0" borderId="1" xfId="1" applyFont="1" applyBorder="1" applyAlignment="1">
      <alignment horizontal="left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2" fillId="8" borderId="0" xfId="0" applyFont="1" applyFill="1" applyBorder="1" applyAlignment="1">
      <alignment horizontal="left" wrapText="1"/>
    </xf>
    <xf numFmtId="0" fontId="5" fillId="0" borderId="1" xfId="0" applyFont="1" applyBorder="1" applyAlignment="1">
      <alignment wrapText="1"/>
    </xf>
    <xf numFmtId="49" fontId="5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wrapText="1"/>
    </xf>
    <xf numFmtId="0" fontId="22" fillId="0" borderId="2" xfId="0" applyFont="1" applyBorder="1" applyAlignment="1">
      <alignment horizontal="center" vertical="center" textRotation="90" shrinkToFit="1"/>
    </xf>
    <xf numFmtId="0" fontId="22" fillId="0" borderId="3" xfId="0" applyFont="1" applyBorder="1" applyAlignment="1">
      <alignment horizontal="center" vertical="center" textRotation="90" shrinkToFit="1"/>
    </xf>
    <xf numFmtId="0" fontId="22" fillId="0" borderId="1" xfId="0" applyFont="1" applyBorder="1" applyAlignment="1">
      <alignment horizontal="center" vertical="center" textRotation="90" shrinkToFit="1"/>
    </xf>
    <xf numFmtId="0" fontId="3" fillId="8" borderId="0" xfId="1" applyFont="1" applyFill="1" applyBorder="1" applyAlignment="1">
      <alignment horizontal="center"/>
    </xf>
    <xf numFmtId="0" fontId="2" fillId="8" borderId="0" xfId="1" applyFont="1" applyFill="1" applyBorder="1" applyAlignment="1">
      <alignment horizontal="left" vertical="center" wrapText="1"/>
    </xf>
    <xf numFmtId="0" fontId="2" fillId="0" borderId="0" xfId="1" applyFont="1" applyBorder="1" applyAlignment="1">
      <alignment horizontal="left" vertical="center" wrapText="1"/>
    </xf>
    <xf numFmtId="0" fontId="21" fillId="0" borderId="1" xfId="0" applyFont="1" applyBorder="1"/>
    <xf numFmtId="0" fontId="28" fillId="0" borderId="1" xfId="0" applyFont="1" applyBorder="1"/>
  </cellXfs>
  <cellStyles count="2">
    <cellStyle name="Normalno" xfId="0" builtinId="0"/>
    <cellStyle name="Tekst objašnjenja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6"/>
  <sheetViews>
    <sheetView tabSelected="1" topLeftCell="A547" zoomScale="120" zoomScaleNormal="120" workbookViewId="0">
      <selection activeCell="J9" sqref="J9"/>
    </sheetView>
  </sheetViews>
  <sheetFormatPr defaultRowHeight="15" x14ac:dyDescent="0.25"/>
  <cols>
    <col min="1" max="1" width="5" customWidth="1"/>
    <col min="2" max="2" width="3.28515625" style="2" customWidth="1"/>
    <col min="3" max="3" width="3.7109375" style="2" customWidth="1"/>
    <col min="4" max="4" width="5.28515625" style="2" customWidth="1"/>
    <col min="5" max="5" width="37.140625" style="2" customWidth="1"/>
    <col min="6" max="6" width="14" style="2" customWidth="1"/>
    <col min="7" max="7" width="13.5703125" style="2" customWidth="1"/>
    <col min="8" max="8" width="15.140625" style="2" customWidth="1"/>
  </cols>
  <sheetData>
    <row r="1" spans="1:8" s="108" customFormat="1" ht="46.5" customHeight="1" x14ac:dyDescent="0.25">
      <c r="B1" s="212" t="s">
        <v>233</v>
      </c>
      <c r="C1" s="212"/>
      <c r="D1" s="212"/>
      <c r="E1" s="212"/>
      <c r="F1" s="212"/>
      <c r="G1" s="212"/>
      <c r="H1" s="212"/>
    </row>
    <row r="2" spans="1:8" x14ac:dyDescent="0.25">
      <c r="B2"/>
      <c r="C2"/>
      <c r="D2"/>
      <c r="E2"/>
      <c r="F2"/>
      <c r="G2"/>
      <c r="H2"/>
    </row>
    <row r="3" spans="1:8" x14ac:dyDescent="0.25">
      <c r="A3" s="96"/>
      <c r="B3" s="211" t="s">
        <v>207</v>
      </c>
      <c r="C3" s="211"/>
      <c r="D3" s="211"/>
      <c r="E3" s="211"/>
      <c r="F3" s="211"/>
      <c r="G3" s="211"/>
      <c r="H3" s="211"/>
    </row>
    <row r="4" spans="1:8" x14ac:dyDescent="0.25">
      <c r="A4" s="96"/>
      <c r="B4" s="211" t="s">
        <v>182</v>
      </c>
      <c r="C4" s="211"/>
      <c r="D4" s="211"/>
      <c r="E4" s="211"/>
      <c r="F4" s="211"/>
      <c r="G4" s="211"/>
      <c r="H4" s="211"/>
    </row>
    <row r="5" spans="1:8" x14ac:dyDescent="0.25">
      <c r="B5" s="1"/>
      <c r="C5" s="1"/>
      <c r="D5" s="1"/>
      <c r="E5" s="1"/>
      <c r="F5" s="1"/>
      <c r="G5"/>
      <c r="H5"/>
    </row>
    <row r="6" spans="1:8" x14ac:dyDescent="0.25">
      <c r="B6" s="188" t="s">
        <v>79</v>
      </c>
      <c r="C6" s="188"/>
      <c r="D6" s="188"/>
      <c r="E6" s="188"/>
      <c r="F6" s="188"/>
      <c r="G6" s="188"/>
      <c r="H6" s="188"/>
    </row>
    <row r="8" spans="1:8" x14ac:dyDescent="0.25">
      <c r="B8" s="189" t="s">
        <v>80</v>
      </c>
      <c r="C8" s="189"/>
      <c r="D8" s="189"/>
      <c r="E8" s="189"/>
      <c r="F8" s="189"/>
      <c r="G8" s="189"/>
      <c r="H8" s="189"/>
    </row>
    <row r="10" spans="1:8" ht="42.75" customHeight="1" x14ac:dyDescent="0.25">
      <c r="B10" s="213" t="s">
        <v>220</v>
      </c>
      <c r="C10" s="213"/>
      <c r="D10" s="213"/>
      <c r="E10" s="213"/>
      <c r="F10" s="213"/>
      <c r="G10" s="213"/>
      <c r="H10" s="213"/>
    </row>
    <row r="11" spans="1:8" x14ac:dyDescent="0.25">
      <c r="B11"/>
      <c r="C11"/>
      <c r="D11"/>
      <c r="E11"/>
      <c r="F11"/>
      <c r="G11"/>
      <c r="H11"/>
    </row>
    <row r="12" spans="1:8" x14ac:dyDescent="0.25">
      <c r="B12"/>
      <c r="C12"/>
      <c r="D12"/>
      <c r="E12"/>
      <c r="F12"/>
      <c r="G12"/>
      <c r="H12"/>
    </row>
    <row r="13" spans="1:8" x14ac:dyDescent="0.25">
      <c r="B13" s="3" t="s">
        <v>176</v>
      </c>
      <c r="C13"/>
      <c r="D13"/>
      <c r="E13"/>
      <c r="F13"/>
      <c r="G13"/>
      <c r="H13"/>
    </row>
    <row r="14" spans="1:8" x14ac:dyDescent="0.25">
      <c r="B14" s="3"/>
      <c r="C14"/>
      <c r="D14"/>
      <c r="E14"/>
      <c r="F14"/>
      <c r="G14"/>
      <c r="H14"/>
    </row>
    <row r="15" spans="1:8" ht="41.25" customHeight="1" x14ac:dyDescent="0.25">
      <c r="A15" s="192"/>
      <c r="B15" s="192"/>
      <c r="C15" s="192"/>
      <c r="D15" s="192"/>
      <c r="E15" s="192"/>
      <c r="F15" s="106" t="s">
        <v>183</v>
      </c>
      <c r="G15" s="106" t="s">
        <v>208</v>
      </c>
      <c r="H15" s="4" t="s">
        <v>209</v>
      </c>
    </row>
    <row r="16" spans="1:8" x14ac:dyDescent="0.25">
      <c r="A16" s="186" t="s">
        <v>172</v>
      </c>
      <c r="B16" s="186"/>
      <c r="C16" s="186"/>
      <c r="D16" s="186"/>
      <c r="E16" s="186"/>
      <c r="F16" s="87">
        <f>F42</f>
        <v>5910878.3200000003</v>
      </c>
      <c r="G16" s="168">
        <f>G42</f>
        <v>-1382669.0999999999</v>
      </c>
      <c r="H16" s="168">
        <f>H42</f>
        <v>4528209.22</v>
      </c>
    </row>
    <row r="17" spans="1:8" x14ac:dyDescent="0.25">
      <c r="A17" s="186" t="s">
        <v>173</v>
      </c>
      <c r="B17" s="186"/>
      <c r="C17" s="186"/>
      <c r="D17" s="186"/>
      <c r="E17" s="186"/>
      <c r="F17" s="87">
        <f>F69</f>
        <v>3269370.76</v>
      </c>
      <c r="G17" s="168">
        <f>G69</f>
        <v>389364.04</v>
      </c>
      <c r="H17" s="168">
        <f>H69</f>
        <v>3658734.8</v>
      </c>
    </row>
    <row r="18" spans="1:8" x14ac:dyDescent="0.25">
      <c r="A18" s="186" t="s">
        <v>174</v>
      </c>
      <c r="B18" s="186"/>
      <c r="C18" s="186"/>
      <c r="D18" s="186"/>
      <c r="E18" s="186"/>
      <c r="F18" s="87">
        <f>F100</f>
        <v>2322507.56</v>
      </c>
      <c r="G18" s="168">
        <f>G100</f>
        <v>92299.950000000012</v>
      </c>
      <c r="H18" s="168">
        <f>H100</f>
        <v>2414807.5100000002</v>
      </c>
    </row>
    <row r="19" spans="1:8" x14ac:dyDescent="0.25">
      <c r="A19" s="186" t="s">
        <v>81</v>
      </c>
      <c r="B19" s="186"/>
      <c r="C19" s="186"/>
      <c r="D19" s="186"/>
      <c r="E19" s="186"/>
      <c r="F19" s="87">
        <f>F16-F17-F18</f>
        <v>319000.00000000047</v>
      </c>
      <c r="G19" s="168">
        <f>G16-G17-G18</f>
        <v>-1864333.0899999999</v>
      </c>
      <c r="H19" s="168">
        <f>H16-H17-H18</f>
        <v>-1545333.0900000003</v>
      </c>
    </row>
    <row r="20" spans="1:8" x14ac:dyDescent="0.25">
      <c r="F20" s="88"/>
      <c r="G20" s="88"/>
      <c r="H20" s="88"/>
    </row>
    <row r="21" spans="1:8" x14ac:dyDescent="0.25">
      <c r="B21" s="188" t="s">
        <v>107</v>
      </c>
      <c r="C21" s="188"/>
      <c r="D21" s="188"/>
      <c r="E21" s="188"/>
      <c r="F21" s="5"/>
      <c r="G21" s="88"/>
      <c r="H21" s="88"/>
    </row>
    <row r="22" spans="1:8" x14ac:dyDescent="0.25">
      <c r="B22" s="155"/>
      <c r="C22" s="155"/>
      <c r="D22" s="155"/>
      <c r="E22" s="155"/>
      <c r="F22" s="5"/>
      <c r="G22" s="88"/>
      <c r="H22" s="88"/>
    </row>
    <row r="23" spans="1:8" ht="39" x14ac:dyDescent="0.25">
      <c r="A23" s="190"/>
      <c r="B23" s="190"/>
      <c r="C23" s="190"/>
      <c r="D23" s="190"/>
      <c r="E23" s="190"/>
      <c r="F23" s="107" t="s">
        <v>183</v>
      </c>
      <c r="G23" s="106" t="s">
        <v>208</v>
      </c>
      <c r="H23" s="4" t="s">
        <v>209</v>
      </c>
    </row>
    <row r="24" spans="1:8" x14ac:dyDescent="0.25">
      <c r="A24" s="191" t="s">
        <v>175</v>
      </c>
      <c r="B24" s="191"/>
      <c r="C24" s="191"/>
      <c r="D24" s="191"/>
      <c r="E24" s="191"/>
      <c r="F24" s="87">
        <f>F120</f>
        <v>1000</v>
      </c>
      <c r="G24" s="168">
        <f>G120</f>
        <v>0</v>
      </c>
      <c r="H24" s="168">
        <f>H120</f>
        <v>1000</v>
      </c>
    </row>
    <row r="25" spans="1:8" x14ac:dyDescent="0.25">
      <c r="A25" s="186" t="s">
        <v>193</v>
      </c>
      <c r="B25" s="186"/>
      <c r="C25" s="186"/>
      <c r="D25" s="186"/>
      <c r="E25" s="186"/>
      <c r="F25" s="87">
        <f>F131</f>
        <v>320000</v>
      </c>
      <c r="G25" s="168">
        <f>G131</f>
        <v>7778.85</v>
      </c>
      <c r="H25" s="168">
        <f>H131</f>
        <v>327778.84999999998</v>
      </c>
    </row>
    <row r="26" spans="1:8" x14ac:dyDescent="0.25">
      <c r="A26" s="186" t="s">
        <v>83</v>
      </c>
      <c r="B26" s="186"/>
      <c r="C26" s="186"/>
      <c r="D26" s="186"/>
      <c r="E26" s="186"/>
      <c r="F26" s="87">
        <f>F24-F25</f>
        <v>-319000</v>
      </c>
      <c r="G26" s="168">
        <f>G24-G25</f>
        <v>-7778.85</v>
      </c>
      <c r="H26" s="168">
        <f>H24-H25</f>
        <v>-326778.84999999998</v>
      </c>
    </row>
    <row r="28" spans="1:8" x14ac:dyDescent="0.25">
      <c r="A28" s="214" t="s">
        <v>210</v>
      </c>
      <c r="B28" s="214"/>
      <c r="C28" s="214"/>
      <c r="D28" s="214"/>
      <c r="E28" s="214"/>
      <c r="F28" s="214"/>
      <c r="G28" s="214"/>
      <c r="H28" s="214"/>
    </row>
    <row r="29" spans="1:8" x14ac:dyDescent="0.25">
      <c r="A29" s="215" t="s">
        <v>214</v>
      </c>
      <c r="B29" s="215"/>
      <c r="C29" s="215"/>
      <c r="D29" s="215"/>
      <c r="E29" s="215"/>
      <c r="F29" s="215"/>
      <c r="G29" s="215"/>
      <c r="H29" s="215"/>
    </row>
    <row r="30" spans="1:8" x14ac:dyDescent="0.25">
      <c r="B30"/>
      <c r="C30"/>
      <c r="D30"/>
      <c r="E30"/>
      <c r="F30"/>
      <c r="G30"/>
      <c r="H30"/>
    </row>
    <row r="31" spans="1:8" x14ac:dyDescent="0.25">
      <c r="B31" s="189" t="s">
        <v>84</v>
      </c>
      <c r="C31" s="189"/>
      <c r="D31" s="189"/>
      <c r="E31" s="189"/>
      <c r="F31" s="189"/>
      <c r="G31" s="189"/>
      <c r="H31" s="189"/>
    </row>
    <row r="33" spans="1:8" ht="27" customHeight="1" x14ac:dyDescent="0.25">
      <c r="B33" s="187" t="s">
        <v>211</v>
      </c>
      <c r="C33" s="187"/>
      <c r="D33" s="187"/>
      <c r="E33" s="187"/>
      <c r="F33" s="187"/>
      <c r="G33" s="187"/>
      <c r="H33" s="187"/>
    </row>
    <row r="34" spans="1:8" x14ac:dyDescent="0.25">
      <c r="B34"/>
      <c r="C34"/>
      <c r="D34"/>
      <c r="E34"/>
      <c r="F34"/>
      <c r="G34"/>
      <c r="H34"/>
    </row>
    <row r="35" spans="1:8" x14ac:dyDescent="0.25">
      <c r="B35" s="188" t="s">
        <v>85</v>
      </c>
      <c r="C35" s="188"/>
      <c r="D35" s="188"/>
      <c r="E35" s="188"/>
      <c r="F35" s="6"/>
      <c r="G35"/>
      <c r="H35"/>
    </row>
    <row r="37" spans="1:8" x14ac:dyDescent="0.25">
      <c r="A37" s="208" t="s">
        <v>171</v>
      </c>
      <c r="B37" s="193" t="s">
        <v>0</v>
      </c>
      <c r="C37" s="193"/>
      <c r="D37" s="193"/>
      <c r="E37" s="193"/>
      <c r="F37" s="194" t="s">
        <v>183</v>
      </c>
      <c r="G37" s="197" t="s">
        <v>208</v>
      </c>
      <c r="H37" s="197" t="s">
        <v>209</v>
      </c>
    </row>
    <row r="38" spans="1:8" x14ac:dyDescent="0.25">
      <c r="A38" s="209"/>
      <c r="B38" s="7"/>
      <c r="C38" s="193" t="s">
        <v>86</v>
      </c>
      <c r="D38" s="193"/>
      <c r="E38" s="193"/>
      <c r="F38" s="195"/>
      <c r="G38" s="198"/>
      <c r="H38" s="198"/>
    </row>
    <row r="39" spans="1:8" x14ac:dyDescent="0.25">
      <c r="A39" s="209"/>
      <c r="B39" s="7"/>
      <c r="C39" s="7"/>
      <c r="D39" s="193" t="s">
        <v>87</v>
      </c>
      <c r="E39" s="193"/>
      <c r="F39" s="195"/>
      <c r="G39" s="198"/>
      <c r="H39" s="198"/>
    </row>
    <row r="40" spans="1:8" x14ac:dyDescent="0.25">
      <c r="A40" s="209"/>
      <c r="B40" s="7"/>
      <c r="C40" s="7"/>
      <c r="D40" s="7"/>
      <c r="E40" s="8" t="s">
        <v>88</v>
      </c>
      <c r="F40" s="196"/>
      <c r="G40" s="199"/>
      <c r="H40" s="199"/>
    </row>
    <row r="41" spans="1:8" x14ac:dyDescent="0.25">
      <c r="A41" s="209"/>
      <c r="B41" s="8">
        <v>1</v>
      </c>
      <c r="C41" s="8">
        <v>2</v>
      </c>
      <c r="D41" s="8">
        <v>3</v>
      </c>
      <c r="E41" s="8">
        <v>4</v>
      </c>
      <c r="F41" s="8">
        <v>5</v>
      </c>
      <c r="G41" s="8">
        <v>6</v>
      </c>
      <c r="H41" s="8">
        <v>7</v>
      </c>
    </row>
    <row r="42" spans="1:8" x14ac:dyDescent="0.25">
      <c r="A42" s="152"/>
      <c r="B42" s="9">
        <v>6</v>
      </c>
      <c r="C42" s="9"/>
      <c r="D42" s="9"/>
      <c r="E42" s="9" t="s">
        <v>89</v>
      </c>
      <c r="F42" s="86">
        <f>F43+F47+F52+F56</f>
        <v>5910878.3200000003</v>
      </c>
      <c r="G42" s="86">
        <f>G43+G47+G52+G56</f>
        <v>-1382669.0999999999</v>
      </c>
      <c r="H42" s="86">
        <f>H43+H47+H52+H56</f>
        <v>4528209.22</v>
      </c>
    </row>
    <row r="43" spans="1:8" x14ac:dyDescent="0.25">
      <c r="A43" s="151"/>
      <c r="B43" s="9"/>
      <c r="C43" s="9">
        <v>61</v>
      </c>
      <c r="D43" s="9"/>
      <c r="E43" s="9" t="s">
        <v>90</v>
      </c>
      <c r="F43" s="86">
        <f>F44+F45+F46</f>
        <v>2403684</v>
      </c>
      <c r="G43" s="86">
        <f>G44+G45+G46</f>
        <v>-200000</v>
      </c>
      <c r="H43" s="86">
        <f>H44+H45+H46</f>
        <v>2203684</v>
      </c>
    </row>
    <row r="44" spans="1:8" x14ac:dyDescent="0.25">
      <c r="A44" s="115" t="s">
        <v>150</v>
      </c>
      <c r="B44" s="11"/>
      <c r="C44" s="11"/>
      <c r="D44" s="11">
        <v>611</v>
      </c>
      <c r="E44" s="154" t="s">
        <v>170</v>
      </c>
      <c r="F44" s="55">
        <f>330000+1800000+5000+684+200000</f>
        <v>2335684</v>
      </c>
      <c r="G44" s="55">
        <v>-200000</v>
      </c>
      <c r="H44" s="55">
        <f>F44+G44</f>
        <v>2135684</v>
      </c>
    </row>
    <row r="45" spans="1:8" x14ac:dyDescent="0.25">
      <c r="A45" s="115" t="s">
        <v>150</v>
      </c>
      <c r="B45" s="11"/>
      <c r="C45" s="11"/>
      <c r="D45" s="11">
        <v>613</v>
      </c>
      <c r="E45" s="11" t="s">
        <v>91</v>
      </c>
      <c r="F45" s="55">
        <v>60000</v>
      </c>
      <c r="G45" s="55"/>
      <c r="H45" s="55">
        <f t="shared" ref="H45:H46" si="0">F45+G45</f>
        <v>60000</v>
      </c>
    </row>
    <row r="46" spans="1:8" x14ac:dyDescent="0.25">
      <c r="A46" s="115" t="s">
        <v>150</v>
      </c>
      <c r="B46" s="11"/>
      <c r="C46" s="11"/>
      <c r="D46" s="11">
        <v>614</v>
      </c>
      <c r="E46" s="11" t="s">
        <v>92</v>
      </c>
      <c r="F46" s="55">
        <v>8000</v>
      </c>
      <c r="G46" s="55"/>
      <c r="H46" s="55">
        <f t="shared" si="0"/>
        <v>8000</v>
      </c>
    </row>
    <row r="47" spans="1:8" ht="26.25" x14ac:dyDescent="0.25">
      <c r="A47" s="115"/>
      <c r="B47" s="9"/>
      <c r="C47" s="9">
        <v>63</v>
      </c>
      <c r="D47" s="9"/>
      <c r="E47" s="13" t="s">
        <v>93</v>
      </c>
      <c r="F47" s="86">
        <f>F48+F50+F51+F49</f>
        <v>2185439.3199999998</v>
      </c>
      <c r="G47" s="86">
        <f>G48+G50+G51+G49</f>
        <v>-949516.45</v>
      </c>
      <c r="H47" s="86">
        <f>H48+H49+H50+H51</f>
        <v>1235922.8699999999</v>
      </c>
    </row>
    <row r="48" spans="1:8" x14ac:dyDescent="0.25">
      <c r="A48" s="115" t="s">
        <v>158</v>
      </c>
      <c r="B48" s="11"/>
      <c r="C48" s="11"/>
      <c r="D48" s="11">
        <v>633</v>
      </c>
      <c r="E48" s="11" t="s">
        <v>94</v>
      </c>
      <c r="F48" s="55">
        <f>9500+140201+49000+107000+550000+174000+863688.95+61000+38026.4</f>
        <v>1992416.3499999999</v>
      </c>
      <c r="G48" s="55">
        <f>181500-107000+90952.9+414594.6+399990-550000+23750-200000-936715.35-414594.6-399990+180000+167996+200000</f>
        <v>-949516.45</v>
      </c>
      <c r="H48" s="55">
        <f>F48+G48</f>
        <v>1042899.8999999999</v>
      </c>
    </row>
    <row r="49" spans="1:8" x14ac:dyDescent="0.25">
      <c r="A49" s="115" t="s">
        <v>158</v>
      </c>
      <c r="B49" s="11"/>
      <c r="C49" s="11"/>
      <c r="D49" s="11">
        <v>634</v>
      </c>
      <c r="E49" s="69" t="s">
        <v>95</v>
      </c>
      <c r="F49" s="55">
        <v>14060.88</v>
      </c>
      <c r="G49" s="55"/>
      <c r="H49" s="55">
        <f t="shared" ref="H49:H50" si="1">F49+G49</f>
        <v>14060.88</v>
      </c>
    </row>
    <row r="50" spans="1:8" ht="26.25" x14ac:dyDescent="0.25">
      <c r="A50" s="115" t="s">
        <v>158</v>
      </c>
      <c r="B50" s="11"/>
      <c r="C50" s="11"/>
      <c r="D50" s="11">
        <v>635</v>
      </c>
      <c r="E50" s="154" t="s">
        <v>96</v>
      </c>
      <c r="F50" s="55">
        <v>40000</v>
      </c>
      <c r="G50" s="55"/>
      <c r="H50" s="55">
        <f t="shared" si="1"/>
        <v>40000</v>
      </c>
    </row>
    <row r="51" spans="1:8" ht="26.25" x14ac:dyDescent="0.25">
      <c r="A51" s="115" t="s">
        <v>158</v>
      </c>
      <c r="B51" s="11"/>
      <c r="C51" s="11"/>
      <c r="D51" s="11">
        <v>638</v>
      </c>
      <c r="E51" s="154" t="s">
        <v>97</v>
      </c>
      <c r="F51" s="55">
        <f>128256.09+10706</f>
        <v>138962.09</v>
      </c>
      <c r="G51" s="55"/>
      <c r="H51" s="55">
        <f>F51+G51</f>
        <v>138962.09</v>
      </c>
    </row>
    <row r="52" spans="1:8" x14ac:dyDescent="0.25">
      <c r="A52" s="115"/>
      <c r="B52" s="9"/>
      <c r="C52" s="9">
        <v>64</v>
      </c>
      <c r="D52" s="9"/>
      <c r="E52" s="9" t="s">
        <v>98</v>
      </c>
      <c r="F52" s="86">
        <f>F54+F55</f>
        <v>1060955</v>
      </c>
      <c r="G52" s="86">
        <f>G54+G55+G53</f>
        <v>-228352.65</v>
      </c>
      <c r="H52" s="86">
        <f>H54+H55+H53</f>
        <v>832602.35</v>
      </c>
    </row>
    <row r="53" spans="1:8" x14ac:dyDescent="0.25">
      <c r="A53" s="115"/>
      <c r="B53" s="9"/>
      <c r="C53" s="9"/>
      <c r="D53" s="11">
        <v>641</v>
      </c>
      <c r="E53" s="11" t="s">
        <v>222</v>
      </c>
      <c r="F53" s="86"/>
      <c r="G53" s="55">
        <v>10</v>
      </c>
      <c r="H53" s="55">
        <f>F53+G53</f>
        <v>10</v>
      </c>
    </row>
    <row r="54" spans="1:8" x14ac:dyDescent="0.25">
      <c r="A54" s="115" t="s">
        <v>150</v>
      </c>
      <c r="B54" s="11"/>
      <c r="C54" s="11"/>
      <c r="D54" s="11">
        <v>642</v>
      </c>
      <c r="E54" s="11" t="s">
        <v>99</v>
      </c>
      <c r="F54" s="55">
        <f>30000+3000+100+5000+6000+1000000+100+3000+1732+123+400+11000</f>
        <v>1060455</v>
      </c>
      <c r="G54" s="55">
        <f>-27000-111000+9637.35-100000</f>
        <v>-228362.65</v>
      </c>
      <c r="H54" s="55">
        <f>F54+G54</f>
        <v>832092.35</v>
      </c>
    </row>
    <row r="55" spans="1:8" x14ac:dyDescent="0.25">
      <c r="A55" s="115" t="s">
        <v>150</v>
      </c>
      <c r="B55" s="11"/>
      <c r="C55" s="11"/>
      <c r="D55" s="11">
        <v>643</v>
      </c>
      <c r="E55" s="11" t="s">
        <v>100</v>
      </c>
      <c r="F55" s="55">
        <v>500</v>
      </c>
      <c r="G55" s="55"/>
      <c r="H55" s="55">
        <f>F55+G55</f>
        <v>500</v>
      </c>
    </row>
    <row r="56" spans="1:8" ht="38.25" x14ac:dyDescent="0.25">
      <c r="A56" s="115"/>
      <c r="B56" s="9"/>
      <c r="C56" s="9">
        <v>65</v>
      </c>
      <c r="D56" s="9"/>
      <c r="E56" s="121" t="s">
        <v>101</v>
      </c>
      <c r="F56" s="86">
        <f>F57+F58+F59</f>
        <v>260800</v>
      </c>
      <c r="G56" s="86">
        <f>G57+G58+G59</f>
        <v>-4800</v>
      </c>
      <c r="H56" s="86">
        <f>H57+H58+H59</f>
        <v>256000</v>
      </c>
    </row>
    <row r="57" spans="1:8" x14ac:dyDescent="0.25">
      <c r="A57" s="115" t="s">
        <v>150</v>
      </c>
      <c r="B57" s="11"/>
      <c r="C57" s="11"/>
      <c r="D57" s="11">
        <v>651</v>
      </c>
      <c r="E57" s="11" t="s">
        <v>102</v>
      </c>
      <c r="F57" s="55">
        <v>2800</v>
      </c>
      <c r="G57" s="55">
        <v>-1800</v>
      </c>
      <c r="H57" s="55">
        <f>F57+G57</f>
        <v>1000</v>
      </c>
    </row>
    <row r="58" spans="1:8" x14ac:dyDescent="0.25">
      <c r="A58" s="115" t="s">
        <v>199</v>
      </c>
      <c r="B58" s="11"/>
      <c r="C58" s="11"/>
      <c r="D58" s="11">
        <v>652</v>
      </c>
      <c r="E58" s="11" t="s">
        <v>103</v>
      </c>
      <c r="F58" s="55">
        <f>5000+30000+52000</f>
        <v>87000</v>
      </c>
      <c r="G58" s="55">
        <f>-2000</f>
        <v>-2000</v>
      </c>
      <c r="H58" s="55">
        <f t="shared" ref="H58:H59" si="2">F58+G58</f>
        <v>85000</v>
      </c>
    </row>
    <row r="59" spans="1:8" x14ac:dyDescent="0.25">
      <c r="A59" s="115" t="s">
        <v>156</v>
      </c>
      <c r="B59" s="11"/>
      <c r="C59" s="11"/>
      <c r="D59" s="11">
        <v>653</v>
      </c>
      <c r="E59" s="11" t="s">
        <v>104</v>
      </c>
      <c r="F59" s="55">
        <f>1000+170000</f>
        <v>171000</v>
      </c>
      <c r="G59" s="55">
        <v>-1000</v>
      </c>
      <c r="H59" s="55">
        <f t="shared" si="2"/>
        <v>170000</v>
      </c>
    </row>
    <row r="60" spans="1:8" x14ac:dyDescent="0.25">
      <c r="B60" s="15"/>
      <c r="C60" s="15"/>
      <c r="D60" s="15"/>
      <c r="E60" s="15"/>
      <c r="F60" s="89"/>
      <c r="G60" s="89"/>
      <c r="H60" s="89"/>
    </row>
    <row r="62" spans="1:8" x14ac:dyDescent="0.25">
      <c r="B62" s="188" t="s">
        <v>6</v>
      </c>
      <c r="C62" s="188"/>
      <c r="D62" s="188"/>
      <c r="E62" s="188"/>
      <c r="F62" s="6"/>
      <c r="G62"/>
      <c r="H62"/>
    </row>
    <row r="64" spans="1:8" x14ac:dyDescent="0.25">
      <c r="A64" s="208" t="s">
        <v>171</v>
      </c>
      <c r="B64" s="193" t="s">
        <v>0</v>
      </c>
      <c r="C64" s="193"/>
      <c r="D64" s="193"/>
      <c r="E64" s="193"/>
      <c r="F64" s="194" t="s">
        <v>183</v>
      </c>
      <c r="G64" s="197" t="s">
        <v>208</v>
      </c>
      <c r="H64" s="197" t="s">
        <v>209</v>
      </c>
    </row>
    <row r="65" spans="1:8" x14ac:dyDescent="0.25">
      <c r="A65" s="209"/>
      <c r="B65" s="7"/>
      <c r="C65" s="193" t="s">
        <v>86</v>
      </c>
      <c r="D65" s="193"/>
      <c r="E65" s="193"/>
      <c r="F65" s="195"/>
      <c r="G65" s="198"/>
      <c r="H65" s="198"/>
    </row>
    <row r="66" spans="1:8" x14ac:dyDescent="0.25">
      <c r="A66" s="209"/>
      <c r="B66" s="7"/>
      <c r="C66" s="7"/>
      <c r="D66" s="193" t="s">
        <v>87</v>
      </c>
      <c r="E66" s="193"/>
      <c r="F66" s="195"/>
      <c r="G66" s="198"/>
      <c r="H66" s="198"/>
    </row>
    <row r="67" spans="1:8" x14ac:dyDescent="0.25">
      <c r="A67" s="209"/>
      <c r="B67" s="7"/>
      <c r="C67" s="7"/>
      <c r="D67" s="7"/>
      <c r="E67" s="8" t="s">
        <v>88</v>
      </c>
      <c r="F67" s="196"/>
      <c r="G67" s="199"/>
      <c r="H67" s="199"/>
    </row>
    <row r="68" spans="1:8" x14ac:dyDescent="0.25">
      <c r="A68" s="209"/>
      <c r="B68" s="8">
        <v>1</v>
      </c>
      <c r="C68" s="8">
        <v>2</v>
      </c>
      <c r="D68" s="8">
        <v>3</v>
      </c>
      <c r="E68" s="8">
        <v>4</v>
      </c>
      <c r="F68" s="8">
        <v>5</v>
      </c>
      <c r="G68" s="8">
        <v>6</v>
      </c>
      <c r="H68" s="8">
        <v>7</v>
      </c>
    </row>
    <row r="69" spans="1:8" x14ac:dyDescent="0.25">
      <c r="A69" s="151"/>
      <c r="B69" s="9">
        <v>3</v>
      </c>
      <c r="C69" s="9"/>
      <c r="D69" s="9"/>
      <c r="E69" s="9" t="s">
        <v>48</v>
      </c>
      <c r="F69" s="86">
        <f>F70+F74+F80+F83+F85+F87+F89</f>
        <v>3269370.76</v>
      </c>
      <c r="G69" s="86">
        <f t="shared" ref="G69:H69" si="3">G70+G74+G80+G83+G85+G87+G89</f>
        <v>389364.04</v>
      </c>
      <c r="H69" s="86">
        <f t="shared" si="3"/>
        <v>3658734.8</v>
      </c>
    </row>
    <row r="70" spans="1:8" x14ac:dyDescent="0.25">
      <c r="A70" s="116"/>
      <c r="B70" s="9"/>
      <c r="C70" s="9">
        <v>31</v>
      </c>
      <c r="D70" s="9"/>
      <c r="E70" s="9" t="s">
        <v>7</v>
      </c>
      <c r="F70" s="86">
        <f>F71+F72+F73</f>
        <v>1156921.92</v>
      </c>
      <c r="G70" s="86">
        <f>G71+G72+G73</f>
        <v>7312.53</v>
      </c>
      <c r="H70" s="86">
        <f>H71+H72+H73</f>
        <v>1164234.45</v>
      </c>
    </row>
    <row r="71" spans="1:8" x14ac:dyDescent="0.25">
      <c r="A71" s="115" t="s">
        <v>198</v>
      </c>
      <c r="B71" s="11"/>
      <c r="C71" s="11"/>
      <c r="D71" s="11">
        <v>311</v>
      </c>
      <c r="E71" s="11" t="s">
        <v>105</v>
      </c>
      <c r="F71" s="55">
        <f>100500+227910+535910+97500.24</f>
        <v>961820.24</v>
      </c>
      <c r="G71" s="55">
        <v>3110</v>
      </c>
      <c r="H71" s="55">
        <f>F71+G71</f>
        <v>964930.24</v>
      </c>
    </row>
    <row r="72" spans="1:8" x14ac:dyDescent="0.25">
      <c r="A72" s="115" t="s">
        <v>150</v>
      </c>
      <c r="B72" s="11"/>
      <c r="C72" s="11"/>
      <c r="D72" s="11">
        <v>312</v>
      </c>
      <c r="E72" s="11" t="s">
        <v>9</v>
      </c>
      <c r="F72" s="55">
        <f>14150+22250</f>
        <v>36400</v>
      </c>
      <c r="G72" s="55">
        <f>1937.53+1750</f>
        <v>3687.5299999999997</v>
      </c>
      <c r="H72" s="55">
        <f t="shared" ref="H72:H73" si="4">F72+G72</f>
        <v>40087.53</v>
      </c>
    </row>
    <row r="73" spans="1:8" x14ac:dyDescent="0.25">
      <c r="A73" s="115" t="s">
        <v>198</v>
      </c>
      <c r="B73" s="11"/>
      <c r="C73" s="11"/>
      <c r="D73" s="11">
        <v>313</v>
      </c>
      <c r="E73" s="11" t="s">
        <v>10</v>
      </c>
      <c r="F73" s="55">
        <f>16583+37605.15+88426+16087.53</f>
        <v>158701.68</v>
      </c>
      <c r="G73" s="55">
        <v>515</v>
      </c>
      <c r="H73" s="55">
        <f t="shared" si="4"/>
        <v>159216.68</v>
      </c>
    </row>
    <row r="74" spans="1:8" x14ac:dyDescent="0.25">
      <c r="A74" s="115"/>
      <c r="B74" s="9"/>
      <c r="C74" s="9">
        <v>32</v>
      </c>
      <c r="D74" s="9"/>
      <c r="E74" s="9" t="s">
        <v>11</v>
      </c>
      <c r="F74" s="86">
        <f>F75+F76+F77+F78+F79</f>
        <v>1362540.5999999999</v>
      </c>
      <c r="G74" s="86">
        <f>G75+G76+G77+G78+G79</f>
        <v>219365.50999999998</v>
      </c>
      <c r="H74" s="86">
        <f>H75+H76+H77+H78+H79</f>
        <v>1581906.1099999996</v>
      </c>
    </row>
    <row r="75" spans="1:8" x14ac:dyDescent="0.25">
      <c r="A75" s="115" t="s">
        <v>198</v>
      </c>
      <c r="B75" s="11"/>
      <c r="C75" s="11"/>
      <c r="D75" s="11">
        <v>321</v>
      </c>
      <c r="E75" s="11" t="s">
        <v>12</v>
      </c>
      <c r="F75" s="55">
        <f>25314+29317+14668.32-13000</f>
        <v>56299.320000000007</v>
      </c>
      <c r="G75" s="55">
        <v>13000</v>
      </c>
      <c r="H75" s="55">
        <f>F75+G75</f>
        <v>69299.320000000007</v>
      </c>
    </row>
    <row r="76" spans="1:8" x14ac:dyDescent="0.25">
      <c r="A76" s="115" t="s">
        <v>199</v>
      </c>
      <c r="B76" s="11"/>
      <c r="C76" s="11"/>
      <c r="D76" s="11">
        <v>322</v>
      </c>
      <c r="E76" s="11" t="s">
        <v>22</v>
      </c>
      <c r="F76" s="55">
        <f>72100+4200+1000+6000+6500+100000+18026.4+5500+6000</f>
        <v>219326.4</v>
      </c>
      <c r="G76" s="55">
        <f>24000-3000</f>
        <v>21000</v>
      </c>
      <c r="H76" s="55">
        <f t="shared" ref="H76:H78" si="5">F76+G76</f>
        <v>240326.39999999999</v>
      </c>
    </row>
    <row r="77" spans="1:8" ht="22.5" customHeight="1" x14ac:dyDescent="0.25">
      <c r="A77" s="117" t="s">
        <v>200</v>
      </c>
      <c r="B77" s="11"/>
      <c r="C77" s="11"/>
      <c r="D77" s="11">
        <v>323</v>
      </c>
      <c r="E77" s="11" t="s">
        <v>13</v>
      </c>
      <c r="F77" s="55">
        <f>812006+20000+9000+5500</f>
        <v>846506</v>
      </c>
      <c r="G77" s="55">
        <f>8069.59+5250+10792.27+32850.75+15000+500+90000+32500+5000+5000+24950</f>
        <v>229912.61</v>
      </c>
      <c r="H77" s="55">
        <f t="shared" si="5"/>
        <v>1076418.6099999999</v>
      </c>
    </row>
    <row r="78" spans="1:8" x14ac:dyDescent="0.25">
      <c r="A78" s="115" t="s">
        <v>158</v>
      </c>
      <c r="B78" s="11"/>
      <c r="C78" s="11"/>
      <c r="D78" s="11">
        <v>324</v>
      </c>
      <c r="E78" s="11" t="s">
        <v>106</v>
      </c>
      <c r="F78" s="55">
        <v>14060.88</v>
      </c>
      <c r="G78" s="55"/>
      <c r="H78" s="55">
        <f t="shared" si="5"/>
        <v>14060.88</v>
      </c>
    </row>
    <row r="79" spans="1:8" x14ac:dyDescent="0.25">
      <c r="A79" s="115" t="s">
        <v>150</v>
      </c>
      <c r="B79" s="11"/>
      <c r="C79" s="11"/>
      <c r="D79" s="11">
        <v>329</v>
      </c>
      <c r="E79" s="11" t="s">
        <v>14</v>
      </c>
      <c r="F79" s="55">
        <f>28500+107000+12000+1848+4000+4000+41000+15000+13000</f>
        <v>226348</v>
      </c>
      <c r="G79" s="55">
        <f>-28500-16047.1</f>
        <v>-44547.1</v>
      </c>
      <c r="H79" s="55">
        <f>F79+G79</f>
        <v>181800.9</v>
      </c>
    </row>
    <row r="80" spans="1:8" x14ac:dyDescent="0.25">
      <c r="A80" s="115"/>
      <c r="B80" s="9"/>
      <c r="C80" s="9">
        <v>34</v>
      </c>
      <c r="D80" s="9"/>
      <c r="E80" s="9" t="s">
        <v>23</v>
      </c>
      <c r="F80" s="86">
        <f>F82+F81</f>
        <v>56394.239999999998</v>
      </c>
      <c r="G80" s="86">
        <f>G82+G81</f>
        <v>0</v>
      </c>
      <c r="H80" s="86">
        <f>H81+H82</f>
        <v>56394.239999999998</v>
      </c>
    </row>
    <row r="81" spans="1:8" x14ac:dyDescent="0.25">
      <c r="A81" s="115" t="s">
        <v>150</v>
      </c>
      <c r="B81" s="9"/>
      <c r="C81" s="9"/>
      <c r="D81" s="11">
        <v>342</v>
      </c>
      <c r="E81" s="11" t="s">
        <v>67</v>
      </c>
      <c r="F81" s="55">
        <v>47538.239999999998</v>
      </c>
      <c r="G81" s="55"/>
      <c r="H81" s="55">
        <f>F81+G81</f>
        <v>47538.239999999998</v>
      </c>
    </row>
    <row r="82" spans="1:8" x14ac:dyDescent="0.25">
      <c r="A82" s="115" t="s">
        <v>150</v>
      </c>
      <c r="B82" s="11"/>
      <c r="C82" s="11"/>
      <c r="D82" s="11">
        <v>343</v>
      </c>
      <c r="E82" s="11" t="s">
        <v>24</v>
      </c>
      <c r="F82" s="55">
        <f>8856</f>
        <v>8856</v>
      </c>
      <c r="G82" s="55"/>
      <c r="H82" s="55">
        <f>F82+G82</f>
        <v>8856</v>
      </c>
    </row>
    <row r="83" spans="1:8" x14ac:dyDescent="0.25">
      <c r="A83" s="115"/>
      <c r="B83" s="9"/>
      <c r="C83" s="9">
        <v>35</v>
      </c>
      <c r="D83" s="9"/>
      <c r="E83" s="9" t="s">
        <v>37</v>
      </c>
      <c r="F83" s="86">
        <f>F84</f>
        <v>160000</v>
      </c>
      <c r="G83" s="86">
        <f>G84</f>
        <v>0</v>
      </c>
      <c r="H83" s="86">
        <f>H84</f>
        <v>160000</v>
      </c>
    </row>
    <row r="84" spans="1:8" ht="25.5" x14ac:dyDescent="0.25">
      <c r="A84" s="115" t="s">
        <v>150</v>
      </c>
      <c r="B84" s="11"/>
      <c r="C84" s="11"/>
      <c r="D84" s="11">
        <v>352</v>
      </c>
      <c r="E84" s="158" t="s">
        <v>140</v>
      </c>
      <c r="F84" s="55">
        <f>155000+5000</f>
        <v>160000</v>
      </c>
      <c r="G84" s="55"/>
      <c r="H84" s="55">
        <f>F84+G84</f>
        <v>160000</v>
      </c>
    </row>
    <row r="85" spans="1:8" ht="25.5" x14ac:dyDescent="0.25">
      <c r="A85" s="115"/>
      <c r="B85" s="9"/>
      <c r="C85" s="9">
        <v>36</v>
      </c>
      <c r="D85" s="9"/>
      <c r="E85" s="121" t="s">
        <v>32</v>
      </c>
      <c r="F85" s="86">
        <f>F86</f>
        <v>49000</v>
      </c>
      <c r="G85" s="86">
        <f>G86</f>
        <v>160000</v>
      </c>
      <c r="H85" s="86">
        <f>H86</f>
        <v>209000</v>
      </c>
    </row>
    <row r="86" spans="1:8" x14ac:dyDescent="0.25">
      <c r="A86" s="115" t="s">
        <v>198</v>
      </c>
      <c r="B86" s="11"/>
      <c r="C86" s="11"/>
      <c r="D86" s="11">
        <v>363</v>
      </c>
      <c r="E86" s="11" t="s">
        <v>33</v>
      </c>
      <c r="F86" s="55">
        <f>40000+9000</f>
        <v>49000</v>
      </c>
      <c r="G86" s="55">
        <f>140000+20000</f>
        <v>160000</v>
      </c>
      <c r="H86" s="55">
        <f>F86+G86</f>
        <v>209000</v>
      </c>
    </row>
    <row r="87" spans="1:8" x14ac:dyDescent="0.25">
      <c r="A87" s="115"/>
      <c r="B87" s="9"/>
      <c r="C87" s="9">
        <v>37</v>
      </c>
      <c r="D87" s="9"/>
      <c r="E87" s="9" t="s">
        <v>44</v>
      </c>
      <c r="F87" s="86">
        <f>F88</f>
        <v>201414</v>
      </c>
      <c r="G87" s="86">
        <f>G88</f>
        <v>2186</v>
      </c>
      <c r="H87" s="86">
        <f>H88</f>
        <v>203600</v>
      </c>
    </row>
    <row r="88" spans="1:8" ht="25.5" x14ac:dyDescent="0.25">
      <c r="A88" s="115" t="s">
        <v>198</v>
      </c>
      <c r="B88" s="11"/>
      <c r="C88" s="11"/>
      <c r="D88" s="11">
        <v>372</v>
      </c>
      <c r="E88" s="158" t="s">
        <v>73</v>
      </c>
      <c r="F88" s="55">
        <f>10000+37000+54000+53414+27000+20000</f>
        <v>201414</v>
      </c>
      <c r="G88" s="55">
        <v>2186</v>
      </c>
      <c r="H88" s="55">
        <f>F88+G88</f>
        <v>203600</v>
      </c>
    </row>
    <row r="89" spans="1:8" x14ac:dyDescent="0.25">
      <c r="A89" s="115"/>
      <c r="B89" s="9"/>
      <c r="C89" s="9">
        <v>38</v>
      </c>
      <c r="D89" s="9"/>
      <c r="E89" s="9" t="s">
        <v>15</v>
      </c>
      <c r="F89" s="86">
        <f>F90</f>
        <v>283100</v>
      </c>
      <c r="G89" s="86">
        <f>G90+G91</f>
        <v>500</v>
      </c>
      <c r="H89" s="86">
        <f>H90+H91</f>
        <v>283600</v>
      </c>
    </row>
    <row r="90" spans="1:8" x14ac:dyDescent="0.25">
      <c r="A90" s="115" t="s">
        <v>150</v>
      </c>
      <c r="B90" s="11"/>
      <c r="C90" s="11"/>
      <c r="D90" s="11">
        <v>381</v>
      </c>
      <c r="E90" s="11" t="s">
        <v>30</v>
      </c>
      <c r="F90" s="55">
        <f>13000+3000+58000+1000+7500+5000+110000+40000+35000+5000+4000+1600+11000-11000</f>
        <v>283100</v>
      </c>
      <c r="G90" s="55">
        <f>500-22000</f>
        <v>-21500</v>
      </c>
      <c r="H90" s="55">
        <f>F90+G90</f>
        <v>261600</v>
      </c>
    </row>
    <row r="91" spans="1:8" x14ac:dyDescent="0.25">
      <c r="A91" s="115" t="s">
        <v>150</v>
      </c>
      <c r="B91" s="11"/>
      <c r="C91" s="11"/>
      <c r="D91" s="11">
        <v>382</v>
      </c>
      <c r="E91" s="11" t="s">
        <v>224</v>
      </c>
      <c r="F91" s="55"/>
      <c r="G91" s="55">
        <v>22000</v>
      </c>
      <c r="H91" s="55">
        <f>F91+G91</f>
        <v>22000</v>
      </c>
    </row>
    <row r="93" spans="1:8" x14ac:dyDescent="0.25">
      <c r="B93" s="188" t="s">
        <v>39</v>
      </c>
      <c r="C93" s="188"/>
      <c r="D93" s="188"/>
      <c r="E93" s="188"/>
      <c r="F93" s="6"/>
      <c r="G93"/>
      <c r="H93"/>
    </row>
    <row r="95" spans="1:8" x14ac:dyDescent="0.25">
      <c r="A95" s="210" t="s">
        <v>171</v>
      </c>
      <c r="B95" s="193" t="s">
        <v>0</v>
      </c>
      <c r="C95" s="193"/>
      <c r="D95" s="193"/>
      <c r="E95" s="193"/>
      <c r="F95" s="194" t="s">
        <v>183</v>
      </c>
      <c r="G95" s="197" t="s">
        <v>208</v>
      </c>
      <c r="H95" s="197" t="s">
        <v>209</v>
      </c>
    </row>
    <row r="96" spans="1:8" x14ac:dyDescent="0.25">
      <c r="A96" s="210"/>
      <c r="B96" s="7"/>
      <c r="C96" s="193" t="s">
        <v>86</v>
      </c>
      <c r="D96" s="193"/>
      <c r="E96" s="193"/>
      <c r="F96" s="195"/>
      <c r="G96" s="198"/>
      <c r="H96" s="198"/>
    </row>
    <row r="97" spans="1:8" x14ac:dyDescent="0.25">
      <c r="A97" s="210"/>
      <c r="B97" s="7"/>
      <c r="C97" s="7"/>
      <c r="D97" s="193" t="s">
        <v>87</v>
      </c>
      <c r="E97" s="193"/>
      <c r="F97" s="195"/>
      <c r="G97" s="198"/>
      <c r="H97" s="198"/>
    </row>
    <row r="98" spans="1:8" x14ac:dyDescent="0.25">
      <c r="A98" s="210"/>
      <c r="B98" s="7"/>
      <c r="C98" s="7"/>
      <c r="D98" s="7"/>
      <c r="E98" s="8" t="s">
        <v>88</v>
      </c>
      <c r="F98" s="196"/>
      <c r="G98" s="199"/>
      <c r="H98" s="199"/>
    </row>
    <row r="99" spans="1:8" x14ac:dyDescent="0.25">
      <c r="A99" s="210"/>
      <c r="B99" s="8">
        <v>1</v>
      </c>
      <c r="C99" s="8">
        <v>2</v>
      </c>
      <c r="D99" s="8">
        <v>3</v>
      </c>
      <c r="E99" s="8">
        <v>4</v>
      </c>
      <c r="F99" s="8">
        <v>5</v>
      </c>
      <c r="G99" s="8">
        <v>6</v>
      </c>
      <c r="H99" s="8">
        <v>7</v>
      </c>
    </row>
    <row r="100" spans="1:8" ht="25.5" x14ac:dyDescent="0.25">
      <c r="A100" s="115"/>
      <c r="B100" s="9">
        <v>4</v>
      </c>
      <c r="C100" s="9"/>
      <c r="D100" s="9"/>
      <c r="E100" s="121" t="s">
        <v>50</v>
      </c>
      <c r="F100" s="86">
        <f>F104+F101+F107</f>
        <v>2322507.56</v>
      </c>
      <c r="G100" s="86">
        <f>G104+G101+G107</f>
        <v>92299.950000000012</v>
      </c>
      <c r="H100" s="86">
        <f>H104+H101+H107</f>
        <v>2414807.5100000002</v>
      </c>
    </row>
    <row r="101" spans="1:8" ht="26.25" x14ac:dyDescent="0.25">
      <c r="A101" s="115"/>
      <c r="B101" s="9"/>
      <c r="C101" s="9">
        <v>41</v>
      </c>
      <c r="D101" s="9"/>
      <c r="E101" s="14" t="s">
        <v>52</v>
      </c>
      <c r="F101" s="86">
        <f>F103</f>
        <v>10000</v>
      </c>
      <c r="G101" s="86">
        <f>G103+G102</f>
        <v>20000</v>
      </c>
      <c r="H101" s="86">
        <f>H103+H102</f>
        <v>30000</v>
      </c>
    </row>
    <row r="102" spans="1:8" x14ac:dyDescent="0.25">
      <c r="A102" s="115" t="s">
        <v>150</v>
      </c>
      <c r="B102" s="9"/>
      <c r="C102" s="9"/>
      <c r="D102" s="11">
        <v>411</v>
      </c>
      <c r="E102" s="167" t="s">
        <v>225</v>
      </c>
      <c r="F102" s="86"/>
      <c r="G102" s="55">
        <v>20000</v>
      </c>
      <c r="H102" s="55">
        <f>F102+G102</f>
        <v>20000</v>
      </c>
    </row>
    <row r="103" spans="1:8" x14ac:dyDescent="0.25">
      <c r="A103" s="174" t="s">
        <v>150</v>
      </c>
      <c r="B103" s="11"/>
      <c r="C103" s="11"/>
      <c r="D103" s="11">
        <v>412</v>
      </c>
      <c r="E103" s="11" t="s">
        <v>53</v>
      </c>
      <c r="F103" s="55">
        <v>10000</v>
      </c>
      <c r="G103" s="55"/>
      <c r="H103" s="55">
        <f>F103+G103</f>
        <v>10000</v>
      </c>
    </row>
    <row r="104" spans="1:8" ht="25.5" x14ac:dyDescent="0.25">
      <c r="A104" s="115"/>
      <c r="B104" s="9"/>
      <c r="C104" s="9">
        <v>42</v>
      </c>
      <c r="D104" s="9"/>
      <c r="E104" s="121" t="s">
        <v>40</v>
      </c>
      <c r="F104" s="86">
        <f>F105+F106</f>
        <v>2277507.56</v>
      </c>
      <c r="G104" s="86">
        <f>G105+G106</f>
        <v>72299.950000000012</v>
      </c>
      <c r="H104" s="86">
        <f>H105+H106</f>
        <v>2349807.5100000002</v>
      </c>
    </row>
    <row r="105" spans="1:8" x14ac:dyDescent="0.25">
      <c r="A105" s="115" t="s">
        <v>198</v>
      </c>
      <c r="B105" s="11"/>
      <c r="C105" s="11"/>
      <c r="D105" s="11">
        <v>421</v>
      </c>
      <c r="E105" s="11" t="s">
        <v>51</v>
      </c>
      <c r="F105" s="55">
        <f>1668874.56+140000+25648+684</f>
        <v>1835206.56</v>
      </c>
      <c r="G105" s="55">
        <f>200000+24900+100000+17500+11250+72274.12-140000+6375.83</f>
        <v>292299.95</v>
      </c>
      <c r="H105" s="55">
        <f>F105+G105</f>
        <v>2127506.5100000002</v>
      </c>
    </row>
    <row r="106" spans="1:8" x14ac:dyDescent="0.25">
      <c r="A106" s="115" t="s">
        <v>198</v>
      </c>
      <c r="B106" s="11"/>
      <c r="C106" s="11"/>
      <c r="D106" s="11">
        <v>422</v>
      </c>
      <c r="E106" s="11" t="s">
        <v>66</v>
      </c>
      <c r="F106" s="55">
        <f>13500+20000+70000+138801+200000</f>
        <v>442301</v>
      </c>
      <c r="G106" s="55">
        <f>-200000-20000</f>
        <v>-220000</v>
      </c>
      <c r="H106" s="55">
        <f>F106+G106</f>
        <v>222301</v>
      </c>
    </row>
    <row r="107" spans="1:8" ht="25.5" x14ac:dyDescent="0.25">
      <c r="A107" s="115"/>
      <c r="B107" s="11"/>
      <c r="C107" s="9">
        <v>45</v>
      </c>
      <c r="D107" s="9"/>
      <c r="E107" s="121" t="s">
        <v>191</v>
      </c>
      <c r="F107" s="86">
        <f>F108</f>
        <v>35000</v>
      </c>
      <c r="G107" s="86">
        <f>G108</f>
        <v>0</v>
      </c>
      <c r="H107" s="86">
        <f>H108</f>
        <v>35000</v>
      </c>
    </row>
    <row r="108" spans="1:8" x14ac:dyDescent="0.25">
      <c r="A108" s="115" t="s">
        <v>150</v>
      </c>
      <c r="B108" s="11"/>
      <c r="C108" s="11"/>
      <c r="D108" s="11">
        <v>453</v>
      </c>
      <c r="E108" s="11" t="s">
        <v>192</v>
      </c>
      <c r="F108" s="55">
        <v>35000</v>
      </c>
      <c r="G108" s="110"/>
      <c r="H108" s="55">
        <f>F108+G108</f>
        <v>35000</v>
      </c>
    </row>
    <row r="109" spans="1:8" x14ac:dyDescent="0.25">
      <c r="A109" s="118"/>
      <c r="B109" s="15"/>
      <c r="C109" s="15"/>
      <c r="D109" s="15"/>
      <c r="E109" s="15"/>
      <c r="F109" s="89"/>
      <c r="G109" s="119"/>
      <c r="H109" s="119"/>
    </row>
    <row r="111" spans="1:8" x14ac:dyDescent="0.25">
      <c r="B111" s="188" t="s">
        <v>107</v>
      </c>
      <c r="C111" s="188"/>
      <c r="D111" s="188"/>
      <c r="E111" s="188"/>
      <c r="F111" s="6"/>
      <c r="G111"/>
      <c r="H111"/>
    </row>
    <row r="113" spans="1:8" x14ac:dyDescent="0.25">
      <c r="B113" s="188" t="s">
        <v>82</v>
      </c>
      <c r="C113" s="188"/>
      <c r="D113" s="188"/>
      <c r="E113" s="188"/>
      <c r="F113" s="6"/>
      <c r="G113"/>
      <c r="H113"/>
    </row>
    <row r="115" spans="1:8" x14ac:dyDescent="0.25">
      <c r="A115" s="210" t="s">
        <v>171</v>
      </c>
      <c r="B115" s="193" t="s">
        <v>0</v>
      </c>
      <c r="C115" s="193"/>
      <c r="D115" s="193"/>
      <c r="E115" s="193"/>
      <c r="F115" s="194" t="s">
        <v>183</v>
      </c>
      <c r="G115" s="197" t="s">
        <v>208</v>
      </c>
      <c r="H115" s="197" t="s">
        <v>209</v>
      </c>
    </row>
    <row r="116" spans="1:8" x14ac:dyDescent="0.25">
      <c r="A116" s="210"/>
      <c r="B116" s="7"/>
      <c r="C116" s="193" t="s">
        <v>86</v>
      </c>
      <c r="D116" s="193"/>
      <c r="E116" s="193"/>
      <c r="F116" s="195"/>
      <c r="G116" s="198"/>
      <c r="H116" s="198"/>
    </row>
    <row r="117" spans="1:8" x14ac:dyDescent="0.25">
      <c r="A117" s="210"/>
      <c r="B117" s="7"/>
      <c r="C117" s="7"/>
      <c r="D117" s="193" t="s">
        <v>87</v>
      </c>
      <c r="E117" s="193"/>
      <c r="F117" s="195"/>
      <c r="G117" s="198"/>
      <c r="H117" s="198"/>
    </row>
    <row r="118" spans="1:8" x14ac:dyDescent="0.25">
      <c r="A118" s="210"/>
      <c r="B118" s="7"/>
      <c r="C118" s="7"/>
      <c r="D118" s="7"/>
      <c r="E118" s="8" t="s">
        <v>88</v>
      </c>
      <c r="F118" s="196"/>
      <c r="G118" s="199"/>
      <c r="H118" s="199"/>
    </row>
    <row r="119" spans="1:8" x14ac:dyDescent="0.25">
      <c r="A119" s="210"/>
      <c r="B119" s="8">
        <v>1</v>
      </c>
      <c r="C119" s="8">
        <v>2</v>
      </c>
      <c r="D119" s="8">
        <v>3</v>
      </c>
      <c r="E119" s="8">
        <v>4</v>
      </c>
      <c r="F119" s="8">
        <v>5</v>
      </c>
      <c r="G119" s="8">
        <v>6</v>
      </c>
      <c r="H119" s="8">
        <v>7</v>
      </c>
    </row>
    <row r="120" spans="1:8" ht="28.5" customHeight="1" x14ac:dyDescent="0.25">
      <c r="A120" s="116"/>
      <c r="B120" s="9">
        <v>8</v>
      </c>
      <c r="C120" s="9"/>
      <c r="D120" s="9"/>
      <c r="E120" s="14" t="s">
        <v>108</v>
      </c>
      <c r="F120" s="86">
        <f t="shared" ref="F120:H121" si="6">F121</f>
        <v>1000</v>
      </c>
      <c r="G120" s="86">
        <f t="shared" si="6"/>
        <v>0</v>
      </c>
      <c r="H120" s="86">
        <f t="shared" si="6"/>
        <v>1000</v>
      </c>
    </row>
    <row r="121" spans="1:8" ht="26.25" x14ac:dyDescent="0.25">
      <c r="A121" s="116"/>
      <c r="B121" s="9"/>
      <c r="C121" s="9">
        <v>81</v>
      </c>
      <c r="D121" s="9"/>
      <c r="E121" s="14" t="s">
        <v>109</v>
      </c>
      <c r="F121" s="86">
        <f t="shared" si="6"/>
        <v>1000</v>
      </c>
      <c r="G121" s="86">
        <f t="shared" si="6"/>
        <v>0</v>
      </c>
      <c r="H121" s="86">
        <f t="shared" si="6"/>
        <v>1000</v>
      </c>
    </row>
    <row r="122" spans="1:8" ht="38.25" x14ac:dyDescent="0.25">
      <c r="A122" s="115" t="s">
        <v>150</v>
      </c>
      <c r="B122" s="11"/>
      <c r="C122" s="11"/>
      <c r="D122" s="11">
        <v>812</v>
      </c>
      <c r="E122" s="158" t="s">
        <v>110</v>
      </c>
      <c r="F122" s="55">
        <v>1000</v>
      </c>
      <c r="G122" s="110"/>
      <c r="H122" s="55">
        <f>F122+G122</f>
        <v>1000</v>
      </c>
    </row>
    <row r="123" spans="1:8" x14ac:dyDescent="0.25">
      <c r="B123"/>
      <c r="C123"/>
      <c r="D123"/>
      <c r="E123"/>
      <c r="F123"/>
      <c r="G123"/>
      <c r="H123"/>
    </row>
    <row r="124" spans="1:8" x14ac:dyDescent="0.25">
      <c r="B124" s="3" t="s">
        <v>68</v>
      </c>
      <c r="C124"/>
      <c r="D124"/>
      <c r="E124"/>
      <c r="F124"/>
      <c r="G124"/>
      <c r="H124"/>
    </row>
    <row r="126" spans="1:8" ht="15" customHeight="1" x14ac:dyDescent="0.25">
      <c r="A126" s="210" t="s">
        <v>171</v>
      </c>
      <c r="B126" s="193" t="s">
        <v>0</v>
      </c>
      <c r="C126" s="193"/>
      <c r="D126" s="193"/>
      <c r="E126" s="193"/>
      <c r="F126" s="194" t="s">
        <v>183</v>
      </c>
      <c r="G126" s="197" t="s">
        <v>208</v>
      </c>
      <c r="H126" s="197" t="s">
        <v>209</v>
      </c>
    </row>
    <row r="127" spans="1:8" x14ac:dyDescent="0.25">
      <c r="A127" s="210"/>
      <c r="B127" s="7"/>
      <c r="C127" s="193" t="s">
        <v>86</v>
      </c>
      <c r="D127" s="193"/>
      <c r="E127" s="193"/>
      <c r="F127" s="195"/>
      <c r="G127" s="198"/>
      <c r="H127" s="198"/>
    </row>
    <row r="128" spans="1:8" x14ac:dyDescent="0.25">
      <c r="A128" s="210"/>
      <c r="B128" s="7"/>
      <c r="C128" s="7"/>
      <c r="D128" s="193" t="s">
        <v>87</v>
      </c>
      <c r="E128" s="193"/>
      <c r="F128" s="195"/>
      <c r="G128" s="198"/>
      <c r="H128" s="198"/>
    </row>
    <row r="129" spans="1:8" x14ac:dyDescent="0.25">
      <c r="A129" s="210"/>
      <c r="B129" s="7"/>
      <c r="C129" s="7"/>
      <c r="D129" s="7"/>
      <c r="E129" s="8" t="s">
        <v>88</v>
      </c>
      <c r="F129" s="196"/>
      <c r="G129" s="199"/>
      <c r="H129" s="199"/>
    </row>
    <row r="130" spans="1:8" x14ac:dyDescent="0.25">
      <c r="A130" s="210"/>
      <c r="B130" s="8">
        <v>1</v>
      </c>
      <c r="C130" s="8">
        <v>2</v>
      </c>
      <c r="D130" s="8">
        <v>3</v>
      </c>
      <c r="E130" s="8">
        <v>4</v>
      </c>
      <c r="F130" s="8">
        <v>5</v>
      </c>
      <c r="G130" s="8">
        <v>6</v>
      </c>
      <c r="H130" s="8">
        <v>7</v>
      </c>
    </row>
    <row r="131" spans="1:8" ht="25.5" x14ac:dyDescent="0.25">
      <c r="A131" s="151"/>
      <c r="B131" s="9">
        <v>5</v>
      </c>
      <c r="C131" s="9"/>
      <c r="D131" s="9"/>
      <c r="E131" s="121" t="s">
        <v>111</v>
      </c>
      <c r="F131" s="86">
        <f>F134+F132</f>
        <v>320000</v>
      </c>
      <c r="G131" s="86">
        <f>G134+G132</f>
        <v>7778.85</v>
      </c>
      <c r="H131" s="86">
        <f>H134+H132</f>
        <v>327778.84999999998</v>
      </c>
    </row>
    <row r="132" spans="1:8" x14ac:dyDescent="0.25">
      <c r="A132" s="151"/>
      <c r="B132" s="9"/>
      <c r="C132" s="9">
        <v>53</v>
      </c>
      <c r="D132" s="9"/>
      <c r="E132" s="14" t="s">
        <v>195</v>
      </c>
      <c r="F132" s="86">
        <f>F133</f>
        <v>20000</v>
      </c>
      <c r="G132" s="86">
        <f>G133</f>
        <v>7778.85</v>
      </c>
      <c r="H132" s="86">
        <f>H133</f>
        <v>27778.85</v>
      </c>
    </row>
    <row r="133" spans="1:8" ht="26.25" x14ac:dyDescent="0.25">
      <c r="A133" s="115" t="s">
        <v>150</v>
      </c>
      <c r="B133" s="9"/>
      <c r="C133" s="9"/>
      <c r="D133" s="11">
        <v>532</v>
      </c>
      <c r="E133" s="154" t="s">
        <v>197</v>
      </c>
      <c r="F133" s="55">
        <v>20000</v>
      </c>
      <c r="G133" s="55">
        <v>7778.85</v>
      </c>
      <c r="H133" s="55">
        <f>F133+G133</f>
        <v>27778.85</v>
      </c>
    </row>
    <row r="134" spans="1:8" ht="25.5" x14ac:dyDescent="0.25">
      <c r="A134" s="151"/>
      <c r="B134" s="9"/>
      <c r="C134" s="9">
        <v>54</v>
      </c>
      <c r="D134" s="9"/>
      <c r="E134" s="121" t="s">
        <v>69</v>
      </c>
      <c r="F134" s="86">
        <f>F135</f>
        <v>300000</v>
      </c>
      <c r="G134" s="86">
        <f>G135</f>
        <v>0</v>
      </c>
      <c r="H134" s="86">
        <f>H135</f>
        <v>300000</v>
      </c>
    </row>
    <row r="135" spans="1:8" ht="25.5" x14ac:dyDescent="0.25">
      <c r="A135" s="115" t="s">
        <v>150</v>
      </c>
      <c r="B135" s="11"/>
      <c r="C135" s="11"/>
      <c r="D135" s="11">
        <v>542</v>
      </c>
      <c r="E135" s="158" t="s">
        <v>112</v>
      </c>
      <c r="F135" s="55">
        <v>300000</v>
      </c>
      <c r="G135" s="110"/>
      <c r="H135" s="55">
        <f>F135+G135</f>
        <v>300000</v>
      </c>
    </row>
    <row r="136" spans="1:8" x14ac:dyDescent="0.25">
      <c r="B136" s="15"/>
      <c r="C136" s="15"/>
      <c r="D136" s="15"/>
      <c r="E136" s="16"/>
      <c r="F136" s="89"/>
      <c r="G136" s="89"/>
      <c r="H136" s="89"/>
    </row>
    <row r="137" spans="1:8" x14ac:dyDescent="0.25">
      <c r="B137" s="15"/>
      <c r="C137" s="15"/>
      <c r="D137" s="15"/>
      <c r="E137" s="16"/>
      <c r="F137" s="17"/>
      <c r="G137" s="17"/>
      <c r="H137" s="17"/>
    </row>
    <row r="138" spans="1:8" ht="38.25" x14ac:dyDescent="0.25">
      <c r="A138" s="203" t="s">
        <v>165</v>
      </c>
      <c r="B138" s="203"/>
      <c r="C138" s="203"/>
      <c r="D138" s="203"/>
      <c r="E138" s="99" t="s">
        <v>88</v>
      </c>
      <c r="F138" s="98" t="s">
        <v>183</v>
      </c>
      <c r="G138" s="156" t="s">
        <v>166</v>
      </c>
      <c r="H138" s="156" t="s">
        <v>184</v>
      </c>
    </row>
    <row r="139" spans="1:8" x14ac:dyDescent="0.25">
      <c r="A139" s="204" t="s">
        <v>150</v>
      </c>
      <c r="B139" s="204"/>
      <c r="C139" s="204"/>
      <c r="D139" s="204"/>
      <c r="E139" s="154" t="s">
        <v>151</v>
      </c>
      <c r="F139" s="55">
        <f>H165+H176+H186+H195+H220+H227+H236+H241+H246+H259+H264+H272+H277+H282+H290+H297+H306+H311+H319+H327+H332+H337+H345+H350+H355+H363+H371+H378+H384+H392+H398+H403+H408+H421+H426+H431+H436+H442+H455+H466+H474+H481+H489+H503+H508+H513+H518+H523</f>
        <v>4962148.290000001</v>
      </c>
      <c r="G139" s="55">
        <v>3303000</v>
      </c>
      <c r="H139" s="55">
        <v>3296000</v>
      </c>
    </row>
    <row r="140" spans="1:8" x14ac:dyDescent="0.25">
      <c r="A140" s="204" t="s">
        <v>152</v>
      </c>
      <c r="B140" s="204"/>
      <c r="C140" s="204"/>
      <c r="D140" s="204"/>
      <c r="E140" s="154" t="s">
        <v>153</v>
      </c>
      <c r="F140" s="55"/>
      <c r="G140" s="110"/>
      <c r="H140" s="110"/>
    </row>
    <row r="141" spans="1:8" x14ac:dyDescent="0.25">
      <c r="A141" s="204" t="s">
        <v>154</v>
      </c>
      <c r="B141" s="204"/>
      <c r="C141" s="204"/>
      <c r="D141" s="204"/>
      <c r="E141" s="154" t="s">
        <v>155</v>
      </c>
      <c r="F141" s="55"/>
      <c r="G141" s="110"/>
      <c r="H141" s="110"/>
    </row>
    <row r="142" spans="1:8" x14ac:dyDescent="0.25">
      <c r="A142" s="204" t="s">
        <v>156</v>
      </c>
      <c r="B142" s="204"/>
      <c r="C142" s="204"/>
      <c r="D142" s="204"/>
      <c r="E142" s="154" t="s">
        <v>157</v>
      </c>
      <c r="F142" s="55">
        <f>H312+H320+H372+H413</f>
        <v>227000</v>
      </c>
      <c r="G142" s="55">
        <v>205000</v>
      </c>
      <c r="H142" s="55">
        <v>205000</v>
      </c>
    </row>
    <row r="143" spans="1:8" x14ac:dyDescent="0.25">
      <c r="A143" s="204" t="s">
        <v>158</v>
      </c>
      <c r="B143" s="204"/>
      <c r="C143" s="204"/>
      <c r="D143" s="204"/>
      <c r="E143" s="154" t="s">
        <v>159</v>
      </c>
      <c r="F143" s="55">
        <f>H181+H196+H265+H298+H393+H443+H456+H490+H495</f>
        <v>1212172.8700000001</v>
      </c>
      <c r="G143" s="55">
        <f>293388+4368.88</f>
        <v>297756.88</v>
      </c>
      <c r="H143" s="55">
        <f>263560+4368.88</f>
        <v>267928.88</v>
      </c>
    </row>
    <row r="144" spans="1:8" x14ac:dyDescent="0.25">
      <c r="A144" s="204" t="s">
        <v>160</v>
      </c>
      <c r="B144" s="204"/>
      <c r="C144" s="204"/>
      <c r="D144" s="204"/>
      <c r="E144" s="154" t="s">
        <v>161</v>
      </c>
      <c r="F144" s="55"/>
      <c r="G144" s="110"/>
      <c r="H144" s="110"/>
    </row>
    <row r="145" spans="1:8" ht="26.25" x14ac:dyDescent="0.25">
      <c r="A145" s="204" t="s">
        <v>162</v>
      </c>
      <c r="B145" s="204"/>
      <c r="C145" s="204"/>
      <c r="D145" s="204"/>
      <c r="E145" s="154" t="s">
        <v>167</v>
      </c>
      <c r="F145" s="55"/>
      <c r="G145" s="110"/>
      <c r="H145" s="110"/>
    </row>
    <row r="146" spans="1:8" x14ac:dyDescent="0.25">
      <c r="A146" s="204" t="s">
        <v>163</v>
      </c>
      <c r="B146" s="204"/>
      <c r="C146" s="204"/>
      <c r="D146" s="204"/>
      <c r="E146" s="154" t="s">
        <v>164</v>
      </c>
      <c r="F146" s="55"/>
      <c r="G146" s="110"/>
      <c r="H146" s="110"/>
    </row>
    <row r="147" spans="1:8" x14ac:dyDescent="0.25">
      <c r="A147" s="190"/>
      <c r="B147" s="190"/>
      <c r="C147" s="190"/>
      <c r="D147" s="190"/>
      <c r="E147" s="100" t="s">
        <v>168</v>
      </c>
      <c r="F147" s="55">
        <f>F139+F140+F141+F142+F143+F144+F145+F146</f>
        <v>6401321.1600000011</v>
      </c>
      <c r="G147" s="55">
        <f t="shared" ref="G147:H147" si="7">G139+G140+G141+G142+G143+G144+G145+G146</f>
        <v>3805756.88</v>
      </c>
      <c r="H147" s="55">
        <f t="shared" si="7"/>
        <v>3768928.88</v>
      </c>
    </row>
    <row r="148" spans="1:8" x14ac:dyDescent="0.25">
      <c r="B148" s="15"/>
      <c r="C148" s="15"/>
      <c r="D148" s="15"/>
      <c r="E148" s="16"/>
      <c r="F148" s="17"/>
      <c r="G148" s="17"/>
      <c r="H148" s="17"/>
    </row>
    <row r="149" spans="1:8" x14ac:dyDescent="0.25">
      <c r="B149" s="200" t="s">
        <v>113</v>
      </c>
      <c r="C149" s="200"/>
      <c r="D149" s="200"/>
      <c r="E149" s="200"/>
      <c r="F149" s="200"/>
      <c r="G149" s="200"/>
      <c r="H149" s="200"/>
    </row>
    <row r="151" spans="1:8" x14ac:dyDescent="0.25">
      <c r="B151" s="201" t="s">
        <v>114</v>
      </c>
      <c r="C151" s="201"/>
      <c r="D151" s="201"/>
      <c r="E151" s="201"/>
      <c r="F151" s="201"/>
      <c r="G151" s="201"/>
      <c r="H151" s="201"/>
    </row>
    <row r="153" spans="1:8" s="96" customFormat="1" ht="46.5" customHeight="1" x14ac:dyDescent="0.25">
      <c r="A153" s="108"/>
      <c r="B153" s="202" t="s">
        <v>228</v>
      </c>
      <c r="C153" s="202"/>
      <c r="D153" s="202"/>
      <c r="E153" s="202"/>
      <c r="F153" s="202"/>
      <c r="G153" s="202"/>
      <c r="H153" s="202"/>
    </row>
    <row r="154" spans="1:8" x14ac:dyDescent="0.25">
      <c r="B154"/>
      <c r="C154"/>
      <c r="D154"/>
      <c r="E154"/>
      <c r="F154"/>
      <c r="G154"/>
      <c r="H154"/>
    </row>
    <row r="155" spans="1:8" ht="15" customHeight="1" x14ac:dyDescent="0.25">
      <c r="B155" s="193" t="s">
        <v>0</v>
      </c>
      <c r="C155" s="193"/>
      <c r="D155" s="193"/>
      <c r="E155" s="193"/>
      <c r="F155" s="194" t="s">
        <v>183</v>
      </c>
      <c r="G155" s="197" t="s">
        <v>208</v>
      </c>
      <c r="H155" s="197" t="s">
        <v>209</v>
      </c>
    </row>
    <row r="156" spans="1:8" x14ac:dyDescent="0.25">
      <c r="B156" s="7"/>
      <c r="C156" s="193" t="s">
        <v>86</v>
      </c>
      <c r="D156" s="193"/>
      <c r="E156" s="193"/>
      <c r="F156" s="195"/>
      <c r="G156" s="198"/>
      <c r="H156" s="198"/>
    </row>
    <row r="157" spans="1:8" x14ac:dyDescent="0.25">
      <c r="B157" s="7"/>
      <c r="C157" s="7"/>
      <c r="D157" s="193" t="s">
        <v>87</v>
      </c>
      <c r="E157" s="193"/>
      <c r="F157" s="195"/>
      <c r="G157" s="198"/>
      <c r="H157" s="198"/>
    </row>
    <row r="158" spans="1:8" x14ac:dyDescent="0.25">
      <c r="B158" s="7"/>
      <c r="C158" s="7"/>
      <c r="D158" s="7"/>
      <c r="E158" s="8" t="s">
        <v>88</v>
      </c>
      <c r="F158" s="196"/>
      <c r="G158" s="199"/>
      <c r="H158" s="199"/>
    </row>
    <row r="159" spans="1:8" x14ac:dyDescent="0.25">
      <c r="B159" s="8">
        <v>1</v>
      </c>
      <c r="C159" s="8">
        <v>2</v>
      </c>
      <c r="D159" s="8">
        <v>3</v>
      </c>
      <c r="E159" s="8">
        <v>4</v>
      </c>
      <c r="F159" s="8">
        <v>5</v>
      </c>
      <c r="G159" s="8">
        <v>6</v>
      </c>
      <c r="H159" s="8">
        <v>7</v>
      </c>
    </row>
    <row r="160" spans="1:8" ht="25.5" x14ac:dyDescent="0.25">
      <c r="B160" s="11"/>
      <c r="C160" s="18"/>
      <c r="D160" s="18"/>
      <c r="E160" s="122" t="s">
        <v>1</v>
      </c>
      <c r="F160" s="19">
        <f>F161</f>
        <v>325897</v>
      </c>
      <c r="G160" s="19">
        <f>G161</f>
        <v>-31047.100000000006</v>
      </c>
      <c r="H160" s="19">
        <f>H161</f>
        <v>294849.90000000002</v>
      </c>
    </row>
    <row r="161" spans="1:8" ht="25.5" x14ac:dyDescent="0.25">
      <c r="A161" s="144"/>
      <c r="B161" s="140"/>
      <c r="C161" s="141"/>
      <c r="D161" s="141"/>
      <c r="E161" s="142" t="s">
        <v>2</v>
      </c>
      <c r="F161" s="143">
        <f>F163</f>
        <v>325897</v>
      </c>
      <c r="G161" s="143">
        <f>G163</f>
        <v>-31047.100000000006</v>
      </c>
      <c r="H161" s="143">
        <f>H163</f>
        <v>294849.90000000002</v>
      </c>
    </row>
    <row r="162" spans="1:8" ht="25.5" x14ac:dyDescent="0.25">
      <c r="A162" s="144"/>
      <c r="B162" s="140"/>
      <c r="C162" s="140"/>
      <c r="D162" s="140"/>
      <c r="E162" s="145" t="s">
        <v>3</v>
      </c>
      <c r="F162" s="146"/>
      <c r="G162" s="146"/>
      <c r="H162" s="146"/>
    </row>
    <row r="163" spans="1:8" ht="38.25" x14ac:dyDescent="0.25">
      <c r="A163" s="144"/>
      <c r="B163" s="140"/>
      <c r="C163" s="147"/>
      <c r="D163" s="147"/>
      <c r="E163" s="148" t="s">
        <v>4</v>
      </c>
      <c r="F163" s="149">
        <f>F164+F175+F180+F185</f>
        <v>325897</v>
      </c>
      <c r="G163" s="149">
        <f>G164+G175+G180+G185</f>
        <v>-31047.100000000006</v>
      </c>
      <c r="H163" s="149">
        <f>H164+H175+H180+H185</f>
        <v>294849.90000000002</v>
      </c>
    </row>
    <row r="164" spans="1:8" x14ac:dyDescent="0.25">
      <c r="B164" s="15"/>
      <c r="C164" s="15"/>
      <c r="D164" s="24"/>
      <c r="E164" s="25" t="s">
        <v>5</v>
      </c>
      <c r="F164" s="26">
        <f>F166</f>
        <v>162397</v>
      </c>
      <c r="G164" s="26">
        <f>G166</f>
        <v>13500</v>
      </c>
      <c r="H164" s="26">
        <f>H166</f>
        <v>175897</v>
      </c>
    </row>
    <row r="165" spans="1:8" x14ac:dyDescent="0.25">
      <c r="B165" s="15"/>
      <c r="C165" s="15"/>
      <c r="D165" s="24"/>
      <c r="E165" s="27" t="s">
        <v>29</v>
      </c>
      <c r="F165" s="95">
        <v>162397</v>
      </c>
      <c r="G165" s="10"/>
      <c r="H165" s="123">
        <v>175897</v>
      </c>
    </row>
    <row r="166" spans="1:8" x14ac:dyDescent="0.25">
      <c r="B166" s="29">
        <v>3</v>
      </c>
      <c r="C166" s="29"/>
      <c r="D166" s="29"/>
      <c r="E166" s="29" t="s">
        <v>6</v>
      </c>
      <c r="F166" s="10">
        <f>F167+F170+F173</f>
        <v>162397</v>
      </c>
      <c r="G166" s="10">
        <f>G167+G170+G173</f>
        <v>13500</v>
      </c>
      <c r="H166" s="10">
        <f>H167+H170+H173</f>
        <v>175897</v>
      </c>
    </row>
    <row r="167" spans="1:8" x14ac:dyDescent="0.25">
      <c r="B167" s="29"/>
      <c r="C167" s="29">
        <v>31</v>
      </c>
      <c r="D167" s="29"/>
      <c r="E167" s="29" t="s">
        <v>7</v>
      </c>
      <c r="F167" s="10">
        <f>F168+F169</f>
        <v>117083</v>
      </c>
      <c r="G167" s="10">
        <f>G168+G169</f>
        <v>0</v>
      </c>
      <c r="H167" s="10">
        <f>H168+H169</f>
        <v>117083</v>
      </c>
    </row>
    <row r="168" spans="1:8" x14ac:dyDescent="0.25">
      <c r="B168" s="30"/>
      <c r="C168" s="30"/>
      <c r="D168" s="30">
        <v>311</v>
      </c>
      <c r="E168" s="30" t="s">
        <v>8</v>
      </c>
      <c r="F168" s="12">
        <v>100500</v>
      </c>
      <c r="G168" s="109"/>
      <c r="H168" s="109">
        <f>F168+G168</f>
        <v>100500</v>
      </c>
    </row>
    <row r="169" spans="1:8" x14ac:dyDescent="0.25">
      <c r="B169" s="30"/>
      <c r="C169" s="30"/>
      <c r="D169" s="30">
        <v>313</v>
      </c>
      <c r="E169" s="30" t="s">
        <v>10</v>
      </c>
      <c r="F169" s="12">
        <v>16583</v>
      </c>
      <c r="G169" s="109"/>
      <c r="H169" s="109">
        <f>F169+G169</f>
        <v>16583</v>
      </c>
    </row>
    <row r="170" spans="1:8" x14ac:dyDescent="0.25">
      <c r="B170" s="29"/>
      <c r="C170" s="29">
        <v>32</v>
      </c>
      <c r="D170" s="29"/>
      <c r="E170" s="29" t="s">
        <v>11</v>
      </c>
      <c r="F170" s="10">
        <f>F171+F172</f>
        <v>32314</v>
      </c>
      <c r="G170" s="10">
        <f>G171+G172</f>
        <v>13000</v>
      </c>
      <c r="H170" s="10">
        <f>H171+H172</f>
        <v>45314</v>
      </c>
    </row>
    <row r="171" spans="1:8" x14ac:dyDescent="0.25">
      <c r="B171" s="30"/>
      <c r="C171" s="30"/>
      <c r="D171" s="30">
        <v>321</v>
      </c>
      <c r="E171" s="30" t="s">
        <v>12</v>
      </c>
      <c r="F171" s="12">
        <f>4464+20000+850-13000</f>
        <v>12314</v>
      </c>
      <c r="G171" s="109">
        <v>13000</v>
      </c>
      <c r="H171" s="109">
        <f>F171+G171</f>
        <v>25314</v>
      </c>
    </row>
    <row r="172" spans="1:8" x14ac:dyDescent="0.25">
      <c r="B172" s="30"/>
      <c r="C172" s="30"/>
      <c r="D172" s="30">
        <v>323</v>
      </c>
      <c r="E172" s="30" t="s">
        <v>13</v>
      </c>
      <c r="F172" s="12">
        <v>20000</v>
      </c>
      <c r="G172" s="109"/>
      <c r="H172" s="109">
        <f>F172+G172</f>
        <v>20000</v>
      </c>
    </row>
    <row r="173" spans="1:8" x14ac:dyDescent="0.25">
      <c r="B173" s="29"/>
      <c r="C173" s="29">
        <v>38</v>
      </c>
      <c r="D173" s="29"/>
      <c r="E173" s="29" t="s">
        <v>15</v>
      </c>
      <c r="F173" s="10">
        <f>F174</f>
        <v>13000</v>
      </c>
      <c r="G173" s="10">
        <f>G174</f>
        <v>500</v>
      </c>
      <c r="H173" s="10">
        <f>H174</f>
        <v>13500</v>
      </c>
    </row>
    <row r="174" spans="1:8" x14ac:dyDescent="0.25">
      <c r="B174" s="30"/>
      <c r="C174" s="30"/>
      <c r="D174" s="30">
        <v>381</v>
      </c>
      <c r="E174" s="85" t="s">
        <v>134</v>
      </c>
      <c r="F174" s="12">
        <f>11000+2000</f>
        <v>13000</v>
      </c>
      <c r="G174" s="12">
        <v>500</v>
      </c>
      <c r="H174" s="12">
        <f>F174+G174</f>
        <v>13500</v>
      </c>
    </row>
    <row r="175" spans="1:8" x14ac:dyDescent="0.25">
      <c r="B175" s="31"/>
      <c r="C175" s="31"/>
      <c r="D175" s="32"/>
      <c r="E175" s="25" t="s">
        <v>16</v>
      </c>
      <c r="F175" s="26">
        <f>F177</f>
        <v>28500</v>
      </c>
      <c r="G175" s="26">
        <f>G177</f>
        <v>-28500</v>
      </c>
      <c r="H175" s="26">
        <f>H177</f>
        <v>0</v>
      </c>
    </row>
    <row r="176" spans="1:8" s="2" customFormat="1" x14ac:dyDescent="0.25">
      <c r="B176" s="34"/>
      <c r="C176" s="34"/>
      <c r="D176" s="39"/>
      <c r="E176" s="27" t="s">
        <v>29</v>
      </c>
      <c r="F176" s="10">
        <v>28500</v>
      </c>
      <c r="G176" s="12"/>
      <c r="H176" s="124"/>
    </row>
    <row r="177" spans="2:8" x14ac:dyDescent="0.25">
      <c r="B177" s="29">
        <v>3</v>
      </c>
      <c r="C177" s="29"/>
      <c r="D177" s="29"/>
      <c r="E177" s="29" t="s">
        <v>6</v>
      </c>
      <c r="F177" s="10">
        <f>F178</f>
        <v>28500</v>
      </c>
      <c r="G177" s="10">
        <f t="shared" ref="G177:H177" si="8">G178</f>
        <v>-28500</v>
      </c>
      <c r="H177" s="10">
        <f t="shared" si="8"/>
        <v>0</v>
      </c>
    </row>
    <row r="178" spans="2:8" x14ac:dyDescent="0.25">
      <c r="B178" s="29"/>
      <c r="C178" s="29">
        <v>32</v>
      </c>
      <c r="D178" s="29"/>
      <c r="E178" s="29" t="s">
        <v>11</v>
      </c>
      <c r="F178" s="10">
        <f>F179</f>
        <v>28500</v>
      </c>
      <c r="G178" s="10">
        <f>G179</f>
        <v>-28500</v>
      </c>
      <c r="H178" s="10">
        <f>H179</f>
        <v>0</v>
      </c>
    </row>
    <row r="179" spans="2:8" x14ac:dyDescent="0.25">
      <c r="B179" s="30"/>
      <c r="C179" s="30"/>
      <c r="D179" s="30">
        <v>329</v>
      </c>
      <c r="E179" s="30" t="s">
        <v>14</v>
      </c>
      <c r="F179" s="12">
        <f>27000+1500</f>
        <v>28500</v>
      </c>
      <c r="G179" s="12">
        <v>-28500</v>
      </c>
      <c r="H179" s="12">
        <f>F179+G179</f>
        <v>0</v>
      </c>
    </row>
    <row r="180" spans="2:8" x14ac:dyDescent="0.25">
      <c r="B180" s="30"/>
      <c r="C180" s="30"/>
      <c r="D180" s="30"/>
      <c r="E180" s="113" t="s">
        <v>190</v>
      </c>
      <c r="F180" s="60">
        <f>F182</f>
        <v>107000</v>
      </c>
      <c r="G180" s="60">
        <f t="shared" ref="G180:H180" si="9">G182</f>
        <v>-16047.100000000006</v>
      </c>
      <c r="H180" s="60">
        <f t="shared" si="9"/>
        <v>90952.9</v>
      </c>
    </row>
    <row r="181" spans="2:8" x14ac:dyDescent="0.25">
      <c r="B181" s="30"/>
      <c r="C181" s="30"/>
      <c r="D181" s="30"/>
      <c r="E181" s="27" t="s">
        <v>169</v>
      </c>
      <c r="F181" s="10">
        <v>107000</v>
      </c>
      <c r="G181" s="10"/>
      <c r="H181" s="10">
        <v>90952.9</v>
      </c>
    </row>
    <row r="182" spans="2:8" x14ac:dyDescent="0.25">
      <c r="B182" s="29">
        <v>3</v>
      </c>
      <c r="C182" s="29"/>
      <c r="D182" s="29"/>
      <c r="E182" s="29" t="s">
        <v>6</v>
      </c>
      <c r="F182" s="10">
        <f>F183</f>
        <v>107000</v>
      </c>
      <c r="G182" s="10">
        <f t="shared" ref="G182:H182" si="10">G183</f>
        <v>-16047.100000000006</v>
      </c>
      <c r="H182" s="10">
        <f t="shared" si="10"/>
        <v>90952.9</v>
      </c>
    </row>
    <row r="183" spans="2:8" x14ac:dyDescent="0.25">
      <c r="B183" s="29"/>
      <c r="C183" s="29">
        <v>32</v>
      </c>
      <c r="D183" s="29"/>
      <c r="E183" s="29" t="s">
        <v>11</v>
      </c>
      <c r="F183" s="10">
        <f>F184</f>
        <v>107000</v>
      </c>
      <c r="G183" s="10">
        <f t="shared" ref="G183:H183" si="11">G184</f>
        <v>-16047.100000000006</v>
      </c>
      <c r="H183" s="10">
        <f t="shared" si="11"/>
        <v>90952.9</v>
      </c>
    </row>
    <row r="184" spans="2:8" x14ac:dyDescent="0.25">
      <c r="B184" s="30"/>
      <c r="C184" s="30"/>
      <c r="D184" s="30">
        <v>329</v>
      </c>
      <c r="E184" s="30" t="s">
        <v>14</v>
      </c>
      <c r="F184" s="12">
        <f>52000+55000</f>
        <v>107000</v>
      </c>
      <c r="G184" s="12">
        <f>-107000+90952.9</f>
        <v>-16047.100000000006</v>
      </c>
      <c r="H184" s="12">
        <f>F184+G184</f>
        <v>90952.9</v>
      </c>
    </row>
    <row r="185" spans="2:8" ht="26.25" x14ac:dyDescent="0.25">
      <c r="B185" s="31"/>
      <c r="C185" s="31"/>
      <c r="D185" s="32"/>
      <c r="E185" s="40" t="s">
        <v>205</v>
      </c>
      <c r="F185" s="26">
        <f>F187</f>
        <v>28000</v>
      </c>
      <c r="G185" s="26">
        <f>G187</f>
        <v>0</v>
      </c>
      <c r="H185" s="26">
        <f>H187</f>
        <v>28000</v>
      </c>
    </row>
    <row r="186" spans="2:8" x14ac:dyDescent="0.25">
      <c r="B186" s="31"/>
      <c r="C186" s="31"/>
      <c r="D186" s="32"/>
      <c r="E186" s="27" t="s">
        <v>29</v>
      </c>
      <c r="F186" s="28">
        <v>28000</v>
      </c>
      <c r="G186" s="28"/>
      <c r="H186" s="123">
        <v>28000</v>
      </c>
    </row>
    <row r="187" spans="2:8" x14ac:dyDescent="0.25">
      <c r="B187" s="29">
        <v>3</v>
      </c>
      <c r="C187" s="29"/>
      <c r="D187" s="29"/>
      <c r="E187" s="29" t="s">
        <v>6</v>
      </c>
      <c r="F187" s="10">
        <f>F188</f>
        <v>28000</v>
      </c>
      <c r="G187" s="10">
        <f t="shared" ref="G187:H187" si="12">G188</f>
        <v>0</v>
      </c>
      <c r="H187" s="10">
        <f t="shared" si="12"/>
        <v>28000</v>
      </c>
    </row>
    <row r="188" spans="2:8" x14ac:dyDescent="0.25">
      <c r="B188" s="29"/>
      <c r="C188" s="29">
        <v>32</v>
      </c>
      <c r="D188" s="29"/>
      <c r="E188" s="29" t="s">
        <v>11</v>
      </c>
      <c r="F188" s="10">
        <f>F189</f>
        <v>28000</v>
      </c>
      <c r="G188" s="10">
        <f t="shared" ref="G188:H188" si="13">G189</f>
        <v>0</v>
      </c>
      <c r="H188" s="10">
        <f t="shared" si="13"/>
        <v>28000</v>
      </c>
    </row>
    <row r="189" spans="2:8" x14ac:dyDescent="0.25">
      <c r="B189" s="30"/>
      <c r="C189" s="30"/>
      <c r="D189" s="30">
        <v>329</v>
      </c>
      <c r="E189" s="30" t="s">
        <v>14</v>
      </c>
      <c r="F189" s="12">
        <f>15000+13000</f>
        <v>28000</v>
      </c>
      <c r="G189" s="12"/>
      <c r="H189" s="12">
        <f>F189+G189</f>
        <v>28000</v>
      </c>
    </row>
    <row r="190" spans="2:8" ht="26.25" x14ac:dyDescent="0.25">
      <c r="B190" s="18"/>
      <c r="C190" s="18"/>
      <c r="D190" s="18"/>
      <c r="E190" s="35" t="s">
        <v>17</v>
      </c>
      <c r="F190" s="19">
        <f>F191+F255+F286+F367+F417+F450+F485</f>
        <v>5585981.3200000003</v>
      </c>
      <c r="G190" s="19">
        <f>G191+G255+G286+G367+G417+G450+G485</f>
        <v>520489.94</v>
      </c>
      <c r="H190" s="19">
        <f>H191+H255+H286+H367+H417+H450+H485</f>
        <v>6106471.2599999998</v>
      </c>
    </row>
    <row r="191" spans="2:8" ht="25.5" x14ac:dyDescent="0.25">
      <c r="B191" s="20"/>
      <c r="C191" s="20"/>
      <c r="D191" s="20"/>
      <c r="E191" s="125" t="s">
        <v>18</v>
      </c>
      <c r="F191" s="21">
        <f>F193</f>
        <v>1040297.03</v>
      </c>
      <c r="G191" s="21">
        <f t="shared" ref="G191:H191" si="14">G193</f>
        <v>227509.4</v>
      </c>
      <c r="H191" s="21">
        <f t="shared" si="14"/>
        <v>1267806.4300000002</v>
      </c>
    </row>
    <row r="192" spans="2:8" ht="25.5" x14ac:dyDescent="0.25">
      <c r="B192" s="11"/>
      <c r="C192" s="11"/>
      <c r="D192" s="11"/>
      <c r="E192" s="126" t="s">
        <v>3</v>
      </c>
      <c r="F192" s="9"/>
      <c r="G192" s="9"/>
      <c r="H192" s="9"/>
    </row>
    <row r="193" spans="2:8" ht="26.25" x14ac:dyDescent="0.25">
      <c r="B193" s="22"/>
      <c r="C193" s="22"/>
      <c r="D193" s="22"/>
      <c r="E193" s="36" t="s">
        <v>19</v>
      </c>
      <c r="F193" s="23">
        <f>F194+F219+F226+F235+F240+F245</f>
        <v>1040297.03</v>
      </c>
      <c r="G193" s="23">
        <f t="shared" ref="G193:H193" si="15">G194+G219+G226+G235+G240+G245</f>
        <v>227509.4</v>
      </c>
      <c r="H193" s="23">
        <f t="shared" si="15"/>
        <v>1267806.4300000002</v>
      </c>
    </row>
    <row r="194" spans="2:8" ht="25.5" x14ac:dyDescent="0.25">
      <c r="B194" s="15"/>
      <c r="C194" s="15"/>
      <c r="D194" s="24"/>
      <c r="E194" s="127" t="s">
        <v>20</v>
      </c>
      <c r="F194" s="26">
        <f>F197+F210+F216</f>
        <v>689879.03</v>
      </c>
      <c r="G194" s="26">
        <f t="shared" ref="G194:H194" si="16">G197+G210+G216</f>
        <v>64508.65</v>
      </c>
      <c r="H194" s="26">
        <f t="shared" si="16"/>
        <v>754387.68</v>
      </c>
    </row>
    <row r="195" spans="2:8" x14ac:dyDescent="0.25">
      <c r="B195" s="15"/>
      <c r="C195" s="15"/>
      <c r="D195" s="24"/>
      <c r="E195" s="162" t="s">
        <v>29</v>
      </c>
      <c r="F195" s="161">
        <f>689879.03-24766.88</f>
        <v>665112.15</v>
      </c>
      <c r="G195" s="161"/>
      <c r="H195" s="161">
        <f>754387.68-24766.88</f>
        <v>729620.8</v>
      </c>
    </row>
    <row r="196" spans="2:8" x14ac:dyDescent="0.25">
      <c r="B196" s="15"/>
      <c r="C196" s="15"/>
      <c r="D196" s="24"/>
      <c r="E196" s="160" t="s">
        <v>169</v>
      </c>
      <c r="F196" s="10">
        <f>10706+14060.88</f>
        <v>24766.879999999997</v>
      </c>
      <c r="G196" s="10"/>
      <c r="H196" s="10">
        <f>10706+14060.88</f>
        <v>24766.879999999997</v>
      </c>
    </row>
    <row r="197" spans="2:8" x14ac:dyDescent="0.25">
      <c r="B197" s="29">
        <v>3</v>
      </c>
      <c r="C197" s="29"/>
      <c r="D197" s="29"/>
      <c r="E197" s="29" t="s">
        <v>6</v>
      </c>
      <c r="F197" s="10">
        <f>F198+F202+F208</f>
        <v>646379.03</v>
      </c>
      <c r="G197" s="10">
        <f t="shared" ref="G197:H197" si="17">G198+G202+G208</f>
        <v>36729.800000000003</v>
      </c>
      <c r="H197" s="10">
        <f t="shared" si="17"/>
        <v>683108.83000000007</v>
      </c>
    </row>
    <row r="198" spans="2:8" x14ac:dyDescent="0.25">
      <c r="B198" s="29"/>
      <c r="C198" s="29">
        <v>31</v>
      </c>
      <c r="D198" s="29"/>
      <c r="E198" s="29" t="s">
        <v>7</v>
      </c>
      <c r="F198" s="10">
        <f>F199+F200+F201</f>
        <v>279665.15000000002</v>
      </c>
      <c r="G198" s="10">
        <f>G199+G200+G201</f>
        <v>1937.5299999999988</v>
      </c>
      <c r="H198" s="10">
        <f>H199+H200+H201</f>
        <v>281602.68</v>
      </c>
    </row>
    <row r="199" spans="2:8" x14ac:dyDescent="0.25">
      <c r="B199" s="30"/>
      <c r="C199" s="30"/>
      <c r="D199" s="30">
        <v>311</v>
      </c>
      <c r="E199" s="30" t="s">
        <v>21</v>
      </c>
      <c r="F199" s="12">
        <f>95750+60850+48010+23300</f>
        <v>227910</v>
      </c>
      <c r="G199" s="12"/>
      <c r="H199" s="12">
        <f>F199+G199</f>
        <v>227910</v>
      </c>
    </row>
    <row r="200" spans="2:8" x14ac:dyDescent="0.25">
      <c r="B200" s="30"/>
      <c r="C200" s="30"/>
      <c r="D200" s="30">
        <v>312</v>
      </c>
      <c r="E200" s="30" t="s">
        <v>9</v>
      </c>
      <c r="F200" s="12">
        <f>5400+5000+3750</f>
        <v>14150</v>
      </c>
      <c r="G200" s="12">
        <f>5400+6000+4687.53-14150</f>
        <v>1937.5299999999988</v>
      </c>
      <c r="H200" s="12">
        <f>F200+G200</f>
        <v>16087.529999999999</v>
      </c>
    </row>
    <row r="201" spans="2:8" x14ac:dyDescent="0.25">
      <c r="B201" s="30"/>
      <c r="C201" s="30"/>
      <c r="D201" s="30">
        <v>313</v>
      </c>
      <c r="E201" s="30" t="s">
        <v>10</v>
      </c>
      <c r="F201" s="12">
        <v>37605.15</v>
      </c>
      <c r="G201" s="12"/>
      <c r="H201" s="12">
        <f>F201+G201</f>
        <v>37605.15</v>
      </c>
    </row>
    <row r="202" spans="2:8" x14ac:dyDescent="0.25">
      <c r="B202" s="29"/>
      <c r="C202" s="29">
        <v>32</v>
      </c>
      <c r="D202" s="29"/>
      <c r="E202" s="29" t="s">
        <v>11</v>
      </c>
      <c r="F202" s="10">
        <f>F203+F204+F205+F206+F207</f>
        <v>357857.88</v>
      </c>
      <c r="G202" s="10">
        <f t="shared" ref="G202:H202" si="18">G203+G204+G205+G206+G207</f>
        <v>34792.270000000004</v>
      </c>
      <c r="H202" s="10">
        <f t="shared" si="18"/>
        <v>392650.15</v>
      </c>
    </row>
    <row r="203" spans="2:8" x14ac:dyDescent="0.25">
      <c r="B203" s="30"/>
      <c r="C203" s="30"/>
      <c r="D203" s="30">
        <v>321</v>
      </c>
      <c r="E203" s="30" t="s">
        <v>12</v>
      </c>
      <c r="F203" s="12">
        <f>13392+5000+500+425+10000</f>
        <v>29317</v>
      </c>
      <c r="G203" s="12"/>
      <c r="H203" s="12">
        <f>F203+G203</f>
        <v>29317</v>
      </c>
    </row>
    <row r="204" spans="2:8" x14ac:dyDescent="0.25">
      <c r="B204" s="30"/>
      <c r="C204" s="30"/>
      <c r="D204" s="30">
        <v>322</v>
      </c>
      <c r="E204" s="30" t="s">
        <v>22</v>
      </c>
      <c r="F204" s="12">
        <f>4000+22000+18000+10000+1100+3500+1000+500+12000</f>
        <v>72100</v>
      </c>
      <c r="G204" s="12">
        <f>24000</f>
        <v>24000</v>
      </c>
      <c r="H204" s="12">
        <f t="shared" ref="H204:H207" si="19">F204+G204</f>
        <v>96100</v>
      </c>
    </row>
    <row r="205" spans="2:8" x14ac:dyDescent="0.25">
      <c r="B205" s="30"/>
      <c r="C205" s="30"/>
      <c r="D205" s="30">
        <v>323</v>
      </c>
      <c r="E205" s="30" t="s">
        <v>13</v>
      </c>
      <c r="F205" s="12">
        <f>13000+10000+8000+20000+9000+5000+6000+2000+1370+1200+3000+2000+5000+5000+6500+23000+10000+50000+810+12000+15000+22500</f>
        <v>230380</v>
      </c>
      <c r="G205" s="12">
        <f>350+1072.27+1020+6250+2100</f>
        <v>10792.27</v>
      </c>
      <c r="H205" s="12">
        <f t="shared" si="19"/>
        <v>241172.27</v>
      </c>
    </row>
    <row r="206" spans="2:8" x14ac:dyDescent="0.25">
      <c r="B206" s="30"/>
      <c r="C206" s="30"/>
      <c r="D206" s="30">
        <v>324</v>
      </c>
      <c r="E206" s="30" t="s">
        <v>106</v>
      </c>
      <c r="F206" s="12">
        <v>14060.88</v>
      </c>
      <c r="G206" s="12"/>
      <c r="H206" s="12">
        <f t="shared" si="19"/>
        <v>14060.88</v>
      </c>
    </row>
    <row r="207" spans="2:8" x14ac:dyDescent="0.25">
      <c r="B207" s="30"/>
      <c r="C207" s="30"/>
      <c r="D207" s="30">
        <v>329</v>
      </c>
      <c r="E207" s="30" t="s">
        <v>14</v>
      </c>
      <c r="F207" s="12">
        <f>10000+2000</f>
        <v>12000</v>
      </c>
      <c r="G207" s="12"/>
      <c r="H207" s="12">
        <f t="shared" si="19"/>
        <v>12000</v>
      </c>
    </row>
    <row r="208" spans="2:8" x14ac:dyDescent="0.25">
      <c r="B208" s="29"/>
      <c r="C208" s="29">
        <v>34</v>
      </c>
      <c r="D208" s="29"/>
      <c r="E208" s="29" t="s">
        <v>23</v>
      </c>
      <c r="F208" s="10">
        <f>F209</f>
        <v>8856</v>
      </c>
      <c r="G208" s="10">
        <f t="shared" ref="G208:H208" si="20">G209</f>
        <v>0</v>
      </c>
      <c r="H208" s="10">
        <f t="shared" si="20"/>
        <v>8856</v>
      </c>
    </row>
    <row r="209" spans="2:8" x14ac:dyDescent="0.25">
      <c r="B209" s="30"/>
      <c r="C209" s="30"/>
      <c r="D209" s="30">
        <v>343</v>
      </c>
      <c r="E209" s="30" t="s">
        <v>24</v>
      </c>
      <c r="F209" s="12">
        <f>6500+756+1500+100</f>
        <v>8856</v>
      </c>
      <c r="G209" s="12"/>
      <c r="H209" s="12">
        <f>F209+G209</f>
        <v>8856</v>
      </c>
    </row>
    <row r="210" spans="2:8" ht="26.25" x14ac:dyDescent="0.25">
      <c r="B210" s="29">
        <v>4</v>
      </c>
      <c r="C210" s="29"/>
      <c r="D210" s="29"/>
      <c r="E210" s="37" t="s">
        <v>39</v>
      </c>
      <c r="F210" s="10">
        <f>F211+F214</f>
        <v>23500</v>
      </c>
      <c r="G210" s="10">
        <f>G211+G214</f>
        <v>20000</v>
      </c>
      <c r="H210" s="10">
        <f>H211+H214</f>
        <v>43500</v>
      </c>
    </row>
    <row r="211" spans="2:8" ht="26.25" x14ac:dyDescent="0.25">
      <c r="B211" s="30"/>
      <c r="C211" s="29">
        <v>41</v>
      </c>
      <c r="D211" s="29"/>
      <c r="E211" s="37" t="s">
        <v>52</v>
      </c>
      <c r="F211" s="10">
        <f>F213</f>
        <v>10000</v>
      </c>
      <c r="G211" s="10">
        <f>G213+G212</f>
        <v>20000</v>
      </c>
      <c r="H211" s="10">
        <f>H213+H212</f>
        <v>30000</v>
      </c>
    </row>
    <row r="212" spans="2:8" x14ac:dyDescent="0.25">
      <c r="B212" s="30"/>
      <c r="C212" s="29"/>
      <c r="D212" s="30">
        <v>411</v>
      </c>
      <c r="E212" s="45" t="s">
        <v>223</v>
      </c>
      <c r="F212" s="10"/>
      <c r="G212" s="12">
        <v>20000</v>
      </c>
      <c r="H212" s="12">
        <f>F212+G212</f>
        <v>20000</v>
      </c>
    </row>
    <row r="213" spans="2:8" x14ac:dyDescent="0.25">
      <c r="B213" s="30"/>
      <c r="C213" s="30"/>
      <c r="D213" s="30">
        <v>412</v>
      </c>
      <c r="E213" s="30" t="s">
        <v>53</v>
      </c>
      <c r="F213" s="12">
        <v>10000</v>
      </c>
      <c r="G213" s="12"/>
      <c r="H213" s="12">
        <f>F213+G213</f>
        <v>10000</v>
      </c>
    </row>
    <row r="214" spans="2:8" ht="26.25" x14ac:dyDescent="0.25">
      <c r="B214" s="30"/>
      <c r="C214" s="29">
        <v>42</v>
      </c>
      <c r="D214" s="30"/>
      <c r="E214" s="92" t="s">
        <v>144</v>
      </c>
      <c r="F214" s="10">
        <f>F215</f>
        <v>13500</v>
      </c>
      <c r="G214" s="10">
        <f t="shared" ref="G214:H214" si="21">G215</f>
        <v>0</v>
      </c>
      <c r="H214" s="10">
        <f t="shared" si="21"/>
        <v>13500</v>
      </c>
    </row>
    <row r="215" spans="2:8" x14ac:dyDescent="0.25">
      <c r="B215" s="30"/>
      <c r="C215" s="30"/>
      <c r="D215" s="30">
        <v>422</v>
      </c>
      <c r="E215" s="91" t="s">
        <v>66</v>
      </c>
      <c r="F215" s="12">
        <v>13500</v>
      </c>
      <c r="G215" s="12"/>
      <c r="H215" s="12">
        <f>F215+G215</f>
        <v>13500</v>
      </c>
    </row>
    <row r="216" spans="2:8" ht="26.25" x14ac:dyDescent="0.25">
      <c r="B216" s="120">
        <v>5</v>
      </c>
      <c r="C216" s="29"/>
      <c r="D216" s="30"/>
      <c r="E216" s="14" t="s">
        <v>68</v>
      </c>
      <c r="F216" s="10">
        <f>F217</f>
        <v>20000</v>
      </c>
      <c r="G216" s="10">
        <f t="shared" ref="G216:H217" si="22">G217</f>
        <v>7778.85</v>
      </c>
      <c r="H216" s="10">
        <f t="shared" si="22"/>
        <v>27778.85</v>
      </c>
    </row>
    <row r="217" spans="2:8" x14ac:dyDescent="0.25">
      <c r="B217" s="29"/>
      <c r="C217" s="29">
        <v>53</v>
      </c>
      <c r="D217" s="30"/>
      <c r="E217" s="14" t="s">
        <v>195</v>
      </c>
      <c r="F217" s="10">
        <f>F218</f>
        <v>20000</v>
      </c>
      <c r="G217" s="10">
        <f t="shared" si="22"/>
        <v>7778.85</v>
      </c>
      <c r="H217" s="10">
        <f t="shared" si="22"/>
        <v>27778.85</v>
      </c>
    </row>
    <row r="218" spans="2:8" ht="26.25" x14ac:dyDescent="0.25">
      <c r="B218" s="30"/>
      <c r="C218" s="30"/>
      <c r="D218" s="30">
        <v>532</v>
      </c>
      <c r="E218" s="154" t="s">
        <v>196</v>
      </c>
      <c r="F218" s="12">
        <v>20000</v>
      </c>
      <c r="G218" s="12">
        <v>7778.85</v>
      </c>
      <c r="H218" s="12">
        <f>F218+G218</f>
        <v>27778.85</v>
      </c>
    </row>
    <row r="219" spans="2:8" ht="26.25" x14ac:dyDescent="0.25">
      <c r="B219" s="31"/>
      <c r="C219" s="31"/>
      <c r="D219" s="32"/>
      <c r="E219" s="38" t="s">
        <v>25</v>
      </c>
      <c r="F219" s="26">
        <f>F221</f>
        <v>35048</v>
      </c>
      <c r="G219" s="26">
        <f>G221</f>
        <v>32850.75</v>
      </c>
      <c r="H219" s="26">
        <f>H221</f>
        <v>67898.75</v>
      </c>
    </row>
    <row r="220" spans="2:8" x14ac:dyDescent="0.25">
      <c r="B220" s="31"/>
      <c r="C220" s="31"/>
      <c r="D220" s="32"/>
      <c r="E220" s="27" t="s">
        <v>29</v>
      </c>
      <c r="F220" s="10">
        <v>35048</v>
      </c>
      <c r="G220" s="10"/>
      <c r="H220" s="10">
        <v>67898.75</v>
      </c>
    </row>
    <row r="221" spans="2:8" x14ac:dyDescent="0.25">
      <c r="B221" s="29">
        <v>3</v>
      </c>
      <c r="C221" s="29"/>
      <c r="D221" s="29"/>
      <c r="E221" s="29" t="s">
        <v>6</v>
      </c>
      <c r="F221" s="10">
        <f>F222</f>
        <v>35048</v>
      </c>
      <c r="G221" s="10">
        <f t="shared" ref="G221:H221" si="23">G222</f>
        <v>32850.75</v>
      </c>
      <c r="H221" s="10">
        <f t="shared" si="23"/>
        <v>67898.75</v>
      </c>
    </row>
    <row r="222" spans="2:8" x14ac:dyDescent="0.25">
      <c r="B222" s="29"/>
      <c r="C222" s="29">
        <v>32</v>
      </c>
      <c r="D222" s="29"/>
      <c r="E222" s="29" t="s">
        <v>11</v>
      </c>
      <c r="F222" s="10">
        <f>F224+F225+F223</f>
        <v>35048</v>
      </c>
      <c r="G222" s="10">
        <f t="shared" ref="G222:H222" si="24">G224+G225+G223</f>
        <v>32850.75</v>
      </c>
      <c r="H222" s="10">
        <f t="shared" si="24"/>
        <v>67898.75</v>
      </c>
    </row>
    <row r="223" spans="2:8" x14ac:dyDescent="0.25">
      <c r="B223" s="29"/>
      <c r="C223" s="29"/>
      <c r="D223" s="30">
        <v>322</v>
      </c>
      <c r="E223" s="30" t="s">
        <v>22</v>
      </c>
      <c r="F223" s="12">
        <f>2700+1500</f>
        <v>4200</v>
      </c>
      <c r="G223" s="10"/>
      <c r="H223" s="12">
        <f>F223+G223</f>
        <v>4200</v>
      </c>
    </row>
    <row r="224" spans="2:8" x14ac:dyDescent="0.25">
      <c r="B224" s="30"/>
      <c r="C224" s="30"/>
      <c r="D224" s="30">
        <v>323</v>
      </c>
      <c r="E224" s="30" t="s">
        <v>13</v>
      </c>
      <c r="F224" s="12">
        <f>4000+25000</f>
        <v>29000</v>
      </c>
      <c r="G224" s="12">
        <f>24912.5+562.5+7375.75</f>
        <v>32850.75</v>
      </c>
      <c r="H224" s="12">
        <f t="shared" ref="H224:H225" si="25">F224+G224</f>
        <v>61850.75</v>
      </c>
    </row>
    <row r="225" spans="2:8" x14ac:dyDescent="0.25">
      <c r="B225" s="30"/>
      <c r="C225" s="30"/>
      <c r="D225" s="30">
        <v>329</v>
      </c>
      <c r="E225" s="30" t="s">
        <v>14</v>
      </c>
      <c r="F225" s="12">
        <f>1848</f>
        <v>1848</v>
      </c>
      <c r="G225" s="12"/>
      <c r="H225" s="12">
        <f t="shared" si="25"/>
        <v>1848</v>
      </c>
    </row>
    <row r="226" spans="2:8" ht="26.25" x14ac:dyDescent="0.25">
      <c r="B226" s="31"/>
      <c r="C226" s="31"/>
      <c r="D226" s="32"/>
      <c r="E226" s="40" t="s">
        <v>26</v>
      </c>
      <c r="F226" s="26">
        <f>F228+F232</f>
        <v>76370</v>
      </c>
      <c r="G226" s="26">
        <f t="shared" ref="G226:H226" si="26">G228+G232</f>
        <v>0</v>
      </c>
      <c r="H226" s="26">
        <f t="shared" si="26"/>
        <v>76370</v>
      </c>
    </row>
    <row r="227" spans="2:8" x14ac:dyDescent="0.25">
      <c r="B227" s="31"/>
      <c r="C227" s="31"/>
      <c r="D227" s="32"/>
      <c r="E227" s="27" t="s">
        <v>29</v>
      </c>
      <c r="F227" s="10">
        <v>76370</v>
      </c>
      <c r="G227" s="10"/>
      <c r="H227" s="10">
        <v>76370</v>
      </c>
    </row>
    <row r="228" spans="2:8" x14ac:dyDescent="0.25">
      <c r="B228" s="29">
        <v>3</v>
      </c>
      <c r="C228" s="29"/>
      <c r="D228" s="29"/>
      <c r="E228" s="29" t="s">
        <v>6</v>
      </c>
      <c r="F228" s="10">
        <f>F229</f>
        <v>41370</v>
      </c>
      <c r="G228" s="10">
        <f t="shared" ref="G228:H228" si="27">G229</f>
        <v>0</v>
      </c>
      <c r="H228" s="10">
        <f t="shared" si="27"/>
        <v>41370</v>
      </c>
    </row>
    <row r="229" spans="2:8" x14ac:dyDescent="0.25">
      <c r="B229" s="29"/>
      <c r="C229" s="29">
        <v>32</v>
      </c>
      <c r="D229" s="29"/>
      <c r="E229" s="29" t="s">
        <v>11</v>
      </c>
      <c r="F229" s="10">
        <f>F231+F230</f>
        <v>41370</v>
      </c>
      <c r="G229" s="10">
        <f t="shared" ref="G229:H229" si="28">G231+G230</f>
        <v>0</v>
      </c>
      <c r="H229" s="10">
        <f t="shared" si="28"/>
        <v>41370</v>
      </c>
    </row>
    <row r="230" spans="2:8" x14ac:dyDescent="0.25">
      <c r="B230" s="29"/>
      <c r="C230" s="29"/>
      <c r="D230" s="30">
        <v>322</v>
      </c>
      <c r="E230" s="30" t="s">
        <v>22</v>
      </c>
      <c r="F230" s="12">
        <f>1000+6000</f>
        <v>7000</v>
      </c>
      <c r="G230" s="10"/>
      <c r="H230" s="12">
        <f>F230+G230</f>
        <v>7000</v>
      </c>
    </row>
    <row r="231" spans="2:8" x14ac:dyDescent="0.25">
      <c r="B231" s="30"/>
      <c r="C231" s="30"/>
      <c r="D231" s="30">
        <v>323</v>
      </c>
      <c r="E231" s="30" t="s">
        <v>13</v>
      </c>
      <c r="F231" s="12">
        <f>10000+4370+1000+10000+9000</f>
        <v>34370</v>
      </c>
      <c r="G231" s="12"/>
      <c r="H231" s="12">
        <f>F231+G231</f>
        <v>34370</v>
      </c>
    </row>
    <row r="232" spans="2:8" ht="26.25" x14ac:dyDescent="0.25">
      <c r="B232" s="29">
        <v>4</v>
      </c>
      <c r="C232" s="29"/>
      <c r="D232" s="29"/>
      <c r="E232" s="37" t="s">
        <v>39</v>
      </c>
      <c r="F232" s="10">
        <f>F233</f>
        <v>35000</v>
      </c>
      <c r="G232" s="10">
        <f t="shared" ref="G232:H233" si="29">G233</f>
        <v>0</v>
      </c>
      <c r="H232" s="10">
        <f t="shared" si="29"/>
        <v>35000</v>
      </c>
    </row>
    <row r="233" spans="2:8" ht="26.25" x14ac:dyDescent="0.25">
      <c r="B233" s="29"/>
      <c r="C233" s="29">
        <v>45</v>
      </c>
      <c r="D233" s="29"/>
      <c r="E233" s="37" t="s">
        <v>191</v>
      </c>
      <c r="F233" s="10">
        <f>F234</f>
        <v>35000</v>
      </c>
      <c r="G233" s="10">
        <f t="shared" si="29"/>
        <v>0</v>
      </c>
      <c r="H233" s="10">
        <f t="shared" si="29"/>
        <v>35000</v>
      </c>
    </row>
    <row r="234" spans="2:8" x14ac:dyDescent="0.25">
      <c r="B234" s="30"/>
      <c r="C234" s="30"/>
      <c r="D234" s="30">
        <v>453</v>
      </c>
      <c r="E234" s="30" t="s">
        <v>192</v>
      </c>
      <c r="F234" s="12">
        <v>35000</v>
      </c>
      <c r="G234" s="12"/>
      <c r="H234" s="12">
        <f>F234+G234</f>
        <v>35000</v>
      </c>
    </row>
    <row r="235" spans="2:8" x14ac:dyDescent="0.25">
      <c r="B235" s="31"/>
      <c r="C235" s="31"/>
      <c r="D235" s="32"/>
      <c r="E235" s="40" t="s">
        <v>142</v>
      </c>
      <c r="F235" s="26">
        <f>F237</f>
        <v>20000</v>
      </c>
      <c r="G235" s="26">
        <f>G237</f>
        <v>0</v>
      </c>
      <c r="H235" s="26">
        <f>H237</f>
        <v>20000</v>
      </c>
    </row>
    <row r="236" spans="2:8" x14ac:dyDescent="0.25">
      <c r="B236" s="31"/>
      <c r="C236" s="31"/>
      <c r="D236" s="32"/>
      <c r="E236" s="27" t="s">
        <v>29</v>
      </c>
      <c r="F236" s="10">
        <v>20000</v>
      </c>
      <c r="G236" s="10"/>
      <c r="H236" s="10">
        <v>20000</v>
      </c>
    </row>
    <row r="237" spans="2:8" x14ac:dyDescent="0.25">
      <c r="B237" s="29">
        <v>3</v>
      </c>
      <c r="C237" s="29"/>
      <c r="D237" s="29"/>
      <c r="E237" s="29" t="s">
        <v>6</v>
      </c>
      <c r="F237" s="10">
        <f>F238</f>
        <v>20000</v>
      </c>
      <c r="G237" s="10">
        <f t="shared" ref="G237:H238" si="30">G238</f>
        <v>0</v>
      </c>
      <c r="H237" s="10">
        <f t="shared" si="30"/>
        <v>20000</v>
      </c>
    </row>
    <row r="238" spans="2:8" x14ac:dyDescent="0.25">
      <c r="B238" s="29"/>
      <c r="C238" s="29">
        <v>32</v>
      </c>
      <c r="D238" s="29"/>
      <c r="E238" s="29" t="s">
        <v>11</v>
      </c>
      <c r="F238" s="10">
        <f>F239</f>
        <v>20000</v>
      </c>
      <c r="G238" s="10">
        <f t="shared" si="30"/>
        <v>0</v>
      </c>
      <c r="H238" s="10">
        <f t="shared" si="30"/>
        <v>20000</v>
      </c>
    </row>
    <row r="239" spans="2:8" x14ac:dyDescent="0.25">
      <c r="B239" s="30"/>
      <c r="C239" s="30"/>
      <c r="D239" s="30">
        <v>323</v>
      </c>
      <c r="E239" s="30" t="s">
        <v>13</v>
      </c>
      <c r="F239" s="12">
        <v>20000</v>
      </c>
      <c r="G239" s="12"/>
      <c r="H239" s="12">
        <f>F239+G239</f>
        <v>20000</v>
      </c>
    </row>
    <row r="240" spans="2:8" ht="26.25" x14ac:dyDescent="0.25">
      <c r="B240" s="46"/>
      <c r="C240" s="46"/>
      <c r="D240" s="39"/>
      <c r="E240" s="40" t="s">
        <v>188</v>
      </c>
      <c r="F240" s="26">
        <f>F242</f>
        <v>8000</v>
      </c>
      <c r="G240" s="26">
        <f>G242</f>
        <v>5250</v>
      </c>
      <c r="H240" s="26">
        <f>H242</f>
        <v>13250</v>
      </c>
    </row>
    <row r="241" spans="2:8" x14ac:dyDescent="0.25">
      <c r="B241" s="46"/>
      <c r="C241" s="46"/>
      <c r="D241" s="39"/>
      <c r="E241" s="27" t="s">
        <v>29</v>
      </c>
      <c r="F241" s="10">
        <v>8000</v>
      </c>
      <c r="G241" s="12"/>
      <c r="H241" s="10">
        <v>13250</v>
      </c>
    </row>
    <row r="242" spans="2:8" x14ac:dyDescent="0.25">
      <c r="B242" s="29">
        <v>3</v>
      </c>
      <c r="C242" s="29"/>
      <c r="D242" s="30"/>
      <c r="E242" s="37" t="s">
        <v>6</v>
      </c>
      <c r="F242" s="10">
        <f>F243</f>
        <v>8000</v>
      </c>
      <c r="G242" s="10">
        <f t="shared" ref="G242:H243" si="31">G243</f>
        <v>5250</v>
      </c>
      <c r="H242" s="10">
        <f t="shared" si="31"/>
        <v>13250</v>
      </c>
    </row>
    <row r="243" spans="2:8" x14ac:dyDescent="0.25">
      <c r="B243" s="29"/>
      <c r="C243" s="29">
        <v>32</v>
      </c>
      <c r="D243" s="30"/>
      <c r="E243" s="37" t="s">
        <v>11</v>
      </c>
      <c r="F243" s="10">
        <f>F244</f>
        <v>8000</v>
      </c>
      <c r="G243" s="10">
        <f t="shared" si="31"/>
        <v>5250</v>
      </c>
      <c r="H243" s="10">
        <f t="shared" si="31"/>
        <v>13250</v>
      </c>
    </row>
    <row r="244" spans="2:8" x14ac:dyDescent="0.25">
      <c r="B244" s="44"/>
      <c r="C244" s="44"/>
      <c r="D244" s="30">
        <v>323</v>
      </c>
      <c r="E244" s="45" t="s">
        <v>13</v>
      </c>
      <c r="F244" s="12">
        <v>8000</v>
      </c>
      <c r="G244" s="12">
        <v>5250</v>
      </c>
      <c r="H244" s="12">
        <f>F244+G244</f>
        <v>13250</v>
      </c>
    </row>
    <row r="245" spans="2:8" x14ac:dyDescent="0.25">
      <c r="B245" s="31"/>
      <c r="C245" s="31"/>
      <c r="D245" s="32"/>
      <c r="E245" s="40" t="s">
        <v>226</v>
      </c>
      <c r="F245" s="26">
        <f>F247+F251</f>
        <v>211000</v>
      </c>
      <c r="G245" s="26">
        <f t="shared" ref="G245" si="32">G247+G251</f>
        <v>124900</v>
      </c>
      <c r="H245" s="26">
        <f>H247+H251</f>
        <v>335900</v>
      </c>
    </row>
    <row r="246" spans="2:8" x14ac:dyDescent="0.25">
      <c r="B246" s="31"/>
      <c r="C246" s="31"/>
      <c r="D246" s="32"/>
      <c r="E246" s="27" t="s">
        <v>29</v>
      </c>
      <c r="F246" s="10">
        <v>211000</v>
      </c>
      <c r="G246" s="10"/>
      <c r="H246" s="10">
        <v>335900</v>
      </c>
    </row>
    <row r="247" spans="2:8" x14ac:dyDescent="0.25">
      <c r="B247" s="29">
        <v>3</v>
      </c>
      <c r="C247" s="29"/>
      <c r="D247" s="29"/>
      <c r="E247" s="29" t="s">
        <v>6</v>
      </c>
      <c r="F247" s="10">
        <f>F248</f>
        <v>11000</v>
      </c>
      <c r="G247" s="10">
        <f t="shared" ref="G247:H247" si="33">G248</f>
        <v>0</v>
      </c>
      <c r="H247" s="10">
        <f t="shared" si="33"/>
        <v>11000</v>
      </c>
    </row>
    <row r="248" spans="2:8" x14ac:dyDescent="0.25">
      <c r="B248" s="29"/>
      <c r="C248" s="29">
        <v>32</v>
      </c>
      <c r="D248" s="29"/>
      <c r="E248" s="29" t="s">
        <v>11</v>
      </c>
      <c r="F248" s="10">
        <f>F250+F249</f>
        <v>11000</v>
      </c>
      <c r="G248" s="10">
        <f t="shared" ref="G248:H248" si="34">G250+G249</f>
        <v>0</v>
      </c>
      <c r="H248" s="10">
        <f t="shared" si="34"/>
        <v>11000</v>
      </c>
    </row>
    <row r="249" spans="2:8" x14ac:dyDescent="0.25">
      <c r="B249" s="29"/>
      <c r="C249" s="29"/>
      <c r="D249" s="30">
        <v>322</v>
      </c>
      <c r="E249" s="30" t="s">
        <v>22</v>
      </c>
      <c r="F249" s="12">
        <v>5500</v>
      </c>
      <c r="G249" s="10"/>
      <c r="H249" s="12">
        <f>F249+G249</f>
        <v>5500</v>
      </c>
    </row>
    <row r="250" spans="2:8" x14ac:dyDescent="0.25">
      <c r="B250" s="30"/>
      <c r="C250" s="30"/>
      <c r="D250" s="30">
        <v>323</v>
      </c>
      <c r="E250" s="30" t="s">
        <v>13</v>
      </c>
      <c r="F250" s="12">
        <v>5500</v>
      </c>
      <c r="G250" s="12"/>
      <c r="H250" s="12">
        <f>F250+G250</f>
        <v>5500</v>
      </c>
    </row>
    <row r="251" spans="2:8" ht="26.25" x14ac:dyDescent="0.25">
      <c r="B251" s="29">
        <v>4</v>
      </c>
      <c r="C251" s="29"/>
      <c r="D251" s="29"/>
      <c r="E251" s="37" t="s">
        <v>39</v>
      </c>
      <c r="F251" s="10">
        <f>F252</f>
        <v>200000</v>
      </c>
      <c r="G251" s="10">
        <f t="shared" ref="G251:H251" si="35">G252</f>
        <v>124900</v>
      </c>
      <c r="H251" s="10">
        <f t="shared" si="35"/>
        <v>324900</v>
      </c>
    </row>
    <row r="252" spans="2:8" ht="26.25" x14ac:dyDescent="0.25">
      <c r="B252" s="29"/>
      <c r="C252" s="29">
        <v>42</v>
      </c>
      <c r="D252" s="29"/>
      <c r="E252" s="37" t="s">
        <v>40</v>
      </c>
      <c r="F252" s="10">
        <f>F254</f>
        <v>200000</v>
      </c>
      <c r="G252" s="10">
        <f>G254+G253</f>
        <v>124900</v>
      </c>
      <c r="H252" s="10">
        <f>H254+H253</f>
        <v>324900</v>
      </c>
    </row>
    <row r="253" spans="2:8" x14ac:dyDescent="0.25">
      <c r="B253" s="29"/>
      <c r="C253" s="29"/>
      <c r="D253" s="30">
        <v>421</v>
      </c>
      <c r="E253" s="45" t="s">
        <v>51</v>
      </c>
      <c r="F253" s="10"/>
      <c r="G253" s="109">
        <f>24900+100000+200000</f>
        <v>324900</v>
      </c>
      <c r="H253" s="12">
        <f>F253+G253</f>
        <v>324900</v>
      </c>
    </row>
    <row r="254" spans="2:8" x14ac:dyDescent="0.25">
      <c r="B254" s="30"/>
      <c r="C254" s="30"/>
      <c r="D254" s="30">
        <v>422</v>
      </c>
      <c r="E254" s="30" t="s">
        <v>66</v>
      </c>
      <c r="F254" s="12">
        <v>200000</v>
      </c>
      <c r="G254" s="12">
        <v>-200000</v>
      </c>
      <c r="H254" s="12">
        <f>F254+G254</f>
        <v>0</v>
      </c>
    </row>
    <row r="255" spans="2:8" ht="25.5" x14ac:dyDescent="0.25">
      <c r="B255" s="20"/>
      <c r="C255" s="20"/>
      <c r="D255" s="20"/>
      <c r="E255" s="128" t="s">
        <v>27</v>
      </c>
      <c r="F255" s="21">
        <f>F257</f>
        <v>200500</v>
      </c>
      <c r="G255" s="21">
        <f t="shared" ref="G255:H255" si="36">G257</f>
        <v>0</v>
      </c>
      <c r="H255" s="21">
        <f t="shared" si="36"/>
        <v>200500</v>
      </c>
    </row>
    <row r="256" spans="2:8" ht="25.5" x14ac:dyDescent="0.25">
      <c r="B256" s="11"/>
      <c r="C256" s="11"/>
      <c r="D256" s="11"/>
      <c r="E256" s="121" t="s">
        <v>28</v>
      </c>
      <c r="F256" s="10"/>
      <c r="G256" s="10"/>
      <c r="H256" s="10"/>
    </row>
    <row r="257" spans="2:8" ht="25.5" x14ac:dyDescent="0.25">
      <c r="B257" s="22"/>
      <c r="C257" s="22"/>
      <c r="D257" s="22"/>
      <c r="E257" s="129" t="s">
        <v>115</v>
      </c>
      <c r="F257" s="23">
        <f>F258+F263+F271+F276+F281</f>
        <v>200500</v>
      </c>
      <c r="G257" s="23">
        <f t="shared" ref="G257:H257" si="37">G258+G263+G271+G276+G281</f>
        <v>0</v>
      </c>
      <c r="H257" s="23">
        <f t="shared" si="37"/>
        <v>200500</v>
      </c>
    </row>
    <row r="258" spans="2:8" x14ac:dyDescent="0.25">
      <c r="B258" s="41"/>
      <c r="C258" s="41"/>
      <c r="D258" s="42"/>
      <c r="E258" s="43" t="s">
        <v>116</v>
      </c>
      <c r="F258" s="26">
        <f>F260</f>
        <v>3000</v>
      </c>
      <c r="G258" s="26">
        <f t="shared" ref="G258:H258" si="38">G260</f>
        <v>0</v>
      </c>
      <c r="H258" s="26">
        <f t="shared" si="38"/>
        <v>3000</v>
      </c>
    </row>
    <row r="259" spans="2:8" x14ac:dyDescent="0.25">
      <c r="B259" s="41"/>
      <c r="C259" s="41"/>
      <c r="D259" s="42"/>
      <c r="E259" s="27" t="s">
        <v>29</v>
      </c>
      <c r="F259" s="10">
        <v>3000</v>
      </c>
      <c r="G259" s="10"/>
      <c r="H259" s="10">
        <v>3000</v>
      </c>
    </row>
    <row r="260" spans="2:8" x14ac:dyDescent="0.25">
      <c r="B260" s="29">
        <v>3</v>
      </c>
      <c r="C260" s="29"/>
      <c r="D260" s="29"/>
      <c r="E260" s="29" t="s">
        <v>6</v>
      </c>
      <c r="F260" s="10">
        <f>F261</f>
        <v>3000</v>
      </c>
      <c r="G260" s="10">
        <f t="shared" ref="G260:H261" si="39">G261</f>
        <v>0</v>
      </c>
      <c r="H260" s="10">
        <f t="shared" si="39"/>
        <v>3000</v>
      </c>
    </row>
    <row r="261" spans="2:8" x14ac:dyDescent="0.25">
      <c r="B261" s="29"/>
      <c r="C261" s="29">
        <v>38</v>
      </c>
      <c r="D261" s="29"/>
      <c r="E261" s="29" t="s">
        <v>15</v>
      </c>
      <c r="F261" s="10">
        <f>F262</f>
        <v>3000</v>
      </c>
      <c r="G261" s="10">
        <f t="shared" si="39"/>
        <v>0</v>
      </c>
      <c r="H261" s="10">
        <f t="shared" si="39"/>
        <v>3000</v>
      </c>
    </row>
    <row r="262" spans="2:8" x14ac:dyDescent="0.25">
      <c r="B262" s="44"/>
      <c r="C262" s="44"/>
      <c r="D262" s="30">
        <v>381</v>
      </c>
      <c r="E262" s="45" t="s">
        <v>30</v>
      </c>
      <c r="F262" s="12">
        <v>3000</v>
      </c>
      <c r="G262" s="12"/>
      <c r="H262" s="12">
        <f>F262+G262</f>
        <v>3000</v>
      </c>
    </row>
    <row r="263" spans="2:8" x14ac:dyDescent="0.25">
      <c r="B263" s="41"/>
      <c r="C263" s="41"/>
      <c r="D263" s="42"/>
      <c r="E263" s="43" t="s">
        <v>31</v>
      </c>
      <c r="F263" s="26">
        <f>F266</f>
        <v>109000</v>
      </c>
      <c r="G263" s="26">
        <f t="shared" ref="G263:H263" si="40">G266</f>
        <v>0</v>
      </c>
      <c r="H263" s="26">
        <f t="shared" si="40"/>
        <v>109000</v>
      </c>
    </row>
    <row r="264" spans="2:8" x14ac:dyDescent="0.25">
      <c r="B264" s="41"/>
      <c r="C264" s="41"/>
      <c r="D264" s="42"/>
      <c r="E264" s="27" t="s">
        <v>145</v>
      </c>
      <c r="F264" s="10">
        <f>109000-40000</f>
        <v>69000</v>
      </c>
      <c r="G264" s="10"/>
      <c r="H264" s="10">
        <f>H263-H265</f>
        <v>69000</v>
      </c>
    </row>
    <row r="265" spans="2:8" x14ac:dyDescent="0.25">
      <c r="B265" s="41"/>
      <c r="C265" s="41"/>
      <c r="D265" s="42"/>
      <c r="E265" s="27" t="s">
        <v>227</v>
      </c>
      <c r="F265" s="10">
        <v>40000</v>
      </c>
      <c r="G265" s="10"/>
      <c r="H265" s="10">
        <v>40000</v>
      </c>
    </row>
    <row r="266" spans="2:8" x14ac:dyDescent="0.25">
      <c r="B266" s="29">
        <v>3</v>
      </c>
      <c r="C266" s="29"/>
      <c r="D266" s="29"/>
      <c r="E266" s="29" t="s">
        <v>6</v>
      </c>
      <c r="F266" s="10">
        <f>F267+F269</f>
        <v>109000</v>
      </c>
      <c r="G266" s="10">
        <f t="shared" ref="G266:H266" si="41">G267+G269</f>
        <v>0</v>
      </c>
      <c r="H266" s="10">
        <f t="shared" si="41"/>
        <v>109000</v>
      </c>
    </row>
    <row r="267" spans="2:8" ht="26.25" x14ac:dyDescent="0.25">
      <c r="B267" s="29"/>
      <c r="C267" s="29">
        <v>36</v>
      </c>
      <c r="D267" s="29"/>
      <c r="E267" s="37" t="s">
        <v>32</v>
      </c>
      <c r="F267" s="10">
        <f>F268</f>
        <v>40000</v>
      </c>
      <c r="G267" s="10">
        <f t="shared" ref="G267:H267" si="42">G268</f>
        <v>0</v>
      </c>
      <c r="H267" s="10">
        <f t="shared" si="42"/>
        <v>40000</v>
      </c>
    </row>
    <row r="268" spans="2:8" x14ac:dyDescent="0.25">
      <c r="B268" s="29"/>
      <c r="C268" s="29"/>
      <c r="D268" s="30">
        <v>363</v>
      </c>
      <c r="E268" s="30" t="s">
        <v>33</v>
      </c>
      <c r="F268" s="12">
        <v>40000</v>
      </c>
      <c r="G268" s="12"/>
      <c r="H268" s="12">
        <f>F268+G268</f>
        <v>40000</v>
      </c>
    </row>
    <row r="269" spans="2:8" x14ac:dyDescent="0.25">
      <c r="B269" s="29"/>
      <c r="C269" s="29">
        <v>38</v>
      </c>
      <c r="D269" s="29"/>
      <c r="E269" s="29" t="s">
        <v>15</v>
      </c>
      <c r="F269" s="10">
        <f>F270</f>
        <v>69000</v>
      </c>
      <c r="G269" s="10">
        <f t="shared" ref="G269:H269" si="43">G270</f>
        <v>0</v>
      </c>
      <c r="H269" s="10">
        <f t="shared" si="43"/>
        <v>69000</v>
      </c>
    </row>
    <row r="270" spans="2:8" x14ac:dyDescent="0.25">
      <c r="B270" s="44"/>
      <c r="C270" s="44"/>
      <c r="D270" s="30">
        <v>381</v>
      </c>
      <c r="E270" s="45" t="s">
        <v>30</v>
      </c>
      <c r="F270" s="12">
        <f>14000+20000+12000+12000+11000</f>
        <v>69000</v>
      </c>
      <c r="G270" s="12"/>
      <c r="H270" s="12">
        <f>F270+G270</f>
        <v>69000</v>
      </c>
    </row>
    <row r="271" spans="2:8" ht="26.25" x14ac:dyDescent="0.25">
      <c r="B271" s="41"/>
      <c r="C271" s="41"/>
      <c r="D271" s="41"/>
      <c r="E271" s="47" t="s">
        <v>117</v>
      </c>
      <c r="F271" s="26">
        <f>F273</f>
        <v>1000</v>
      </c>
      <c r="G271" s="26">
        <f t="shared" ref="G271:H271" si="44">G273</f>
        <v>0</v>
      </c>
      <c r="H271" s="26">
        <f t="shared" si="44"/>
        <v>1000</v>
      </c>
    </row>
    <row r="272" spans="2:8" x14ac:dyDescent="0.25">
      <c r="B272" s="41"/>
      <c r="C272" s="41"/>
      <c r="D272" s="41"/>
      <c r="E272" s="27" t="s">
        <v>29</v>
      </c>
      <c r="F272" s="10">
        <v>1000</v>
      </c>
      <c r="G272" s="10"/>
      <c r="H272" s="10">
        <v>1000</v>
      </c>
    </row>
    <row r="273" spans="1:8" x14ac:dyDescent="0.25">
      <c r="B273" s="29">
        <v>3</v>
      </c>
      <c r="C273" s="29"/>
      <c r="D273" s="29"/>
      <c r="E273" s="29" t="s">
        <v>6</v>
      </c>
      <c r="F273" s="10">
        <f>F274</f>
        <v>1000</v>
      </c>
      <c r="G273" s="10">
        <f t="shared" ref="G273:H274" si="45">G274</f>
        <v>0</v>
      </c>
      <c r="H273" s="10">
        <f t="shared" si="45"/>
        <v>1000</v>
      </c>
    </row>
    <row r="274" spans="1:8" x14ac:dyDescent="0.25">
      <c r="B274" s="29"/>
      <c r="C274" s="29">
        <v>38</v>
      </c>
      <c r="D274" s="29"/>
      <c r="E274" s="29" t="s">
        <v>15</v>
      </c>
      <c r="F274" s="10">
        <f>F275</f>
        <v>1000</v>
      </c>
      <c r="G274" s="10">
        <f t="shared" si="45"/>
        <v>0</v>
      </c>
      <c r="H274" s="10">
        <f t="shared" si="45"/>
        <v>1000</v>
      </c>
    </row>
    <row r="275" spans="1:8" x14ac:dyDescent="0.25">
      <c r="B275" s="44"/>
      <c r="C275" s="44"/>
      <c r="D275" s="30">
        <v>381</v>
      </c>
      <c r="E275" s="45" t="s">
        <v>30</v>
      </c>
      <c r="F275" s="12">
        <v>1000</v>
      </c>
      <c r="G275" s="12"/>
      <c r="H275" s="12">
        <f>F275+G275</f>
        <v>1000</v>
      </c>
    </row>
    <row r="276" spans="1:8" x14ac:dyDescent="0.25">
      <c r="B276" s="41"/>
      <c r="C276" s="41"/>
      <c r="D276" s="41"/>
      <c r="E276" s="47" t="s">
        <v>187</v>
      </c>
      <c r="F276" s="26">
        <f>F278</f>
        <v>7500</v>
      </c>
      <c r="G276" s="26">
        <f t="shared" ref="G276:H276" si="46">G278</f>
        <v>0</v>
      </c>
      <c r="H276" s="26">
        <f t="shared" si="46"/>
        <v>7500</v>
      </c>
    </row>
    <row r="277" spans="1:8" x14ac:dyDescent="0.25">
      <c r="B277" s="41"/>
      <c r="C277" s="41"/>
      <c r="D277" s="41"/>
      <c r="E277" s="27" t="s">
        <v>29</v>
      </c>
      <c r="F277" s="10">
        <v>7500</v>
      </c>
      <c r="G277" s="10"/>
      <c r="H277" s="10">
        <v>7500</v>
      </c>
    </row>
    <row r="278" spans="1:8" x14ac:dyDescent="0.25">
      <c r="B278" s="29">
        <v>3</v>
      </c>
      <c r="C278" s="29"/>
      <c r="D278" s="29"/>
      <c r="E278" s="29" t="s">
        <v>6</v>
      </c>
      <c r="F278" s="10">
        <f>F279</f>
        <v>7500</v>
      </c>
      <c r="G278" s="10">
        <f t="shared" ref="G278:H279" si="47">G279</f>
        <v>0</v>
      </c>
      <c r="H278" s="10">
        <f t="shared" si="47"/>
        <v>7500</v>
      </c>
    </row>
    <row r="279" spans="1:8" x14ac:dyDescent="0.25">
      <c r="B279" s="29"/>
      <c r="C279" s="29">
        <v>38</v>
      </c>
      <c r="D279" s="29"/>
      <c r="E279" s="29" t="s">
        <v>15</v>
      </c>
      <c r="F279" s="10">
        <f>F280</f>
        <v>7500</v>
      </c>
      <c r="G279" s="10">
        <f t="shared" si="47"/>
        <v>0</v>
      </c>
      <c r="H279" s="10">
        <f t="shared" si="47"/>
        <v>7500</v>
      </c>
    </row>
    <row r="280" spans="1:8" x14ac:dyDescent="0.25">
      <c r="B280" s="44"/>
      <c r="C280" s="44"/>
      <c r="D280" s="30">
        <v>381</v>
      </c>
      <c r="E280" s="45" t="s">
        <v>30</v>
      </c>
      <c r="F280" s="12">
        <v>7500</v>
      </c>
      <c r="G280" s="12"/>
      <c r="H280" s="12">
        <f>F280+G280</f>
        <v>7500</v>
      </c>
    </row>
    <row r="281" spans="1:8" ht="26.25" x14ac:dyDescent="0.25">
      <c r="B281" s="175"/>
      <c r="C281" s="175"/>
      <c r="D281" s="170"/>
      <c r="E281" s="93" t="s">
        <v>186</v>
      </c>
      <c r="F281" s="60">
        <f>F283</f>
        <v>80000</v>
      </c>
      <c r="G281" s="60">
        <f t="shared" ref="G281:H281" si="48">G283</f>
        <v>0</v>
      </c>
      <c r="H281" s="60">
        <f t="shared" si="48"/>
        <v>80000</v>
      </c>
    </row>
    <row r="282" spans="1:8" x14ac:dyDescent="0.25">
      <c r="A282" s="96"/>
      <c r="B282" s="176"/>
      <c r="C282" s="176"/>
      <c r="D282" s="177"/>
      <c r="E282" s="27" t="s">
        <v>29</v>
      </c>
      <c r="F282" s="95">
        <v>80000</v>
      </c>
      <c r="G282" s="95"/>
      <c r="H282" s="95">
        <v>80000</v>
      </c>
    </row>
    <row r="283" spans="1:8" x14ac:dyDescent="0.25">
      <c r="B283" s="29">
        <v>3</v>
      </c>
      <c r="C283" s="44"/>
      <c r="D283" s="30"/>
      <c r="E283" s="29" t="s">
        <v>6</v>
      </c>
      <c r="F283" s="10">
        <f>F284</f>
        <v>80000</v>
      </c>
      <c r="G283" s="10">
        <f t="shared" ref="G283:H284" si="49">G284</f>
        <v>0</v>
      </c>
      <c r="H283" s="10">
        <f t="shared" si="49"/>
        <v>80000</v>
      </c>
    </row>
    <row r="284" spans="1:8" x14ac:dyDescent="0.25">
      <c r="B284" s="44"/>
      <c r="C284" s="29">
        <v>32</v>
      </c>
      <c r="D284" s="30"/>
      <c r="E284" s="37" t="s">
        <v>11</v>
      </c>
      <c r="F284" s="10">
        <f>F285</f>
        <v>80000</v>
      </c>
      <c r="G284" s="10">
        <f t="shared" si="49"/>
        <v>0</v>
      </c>
      <c r="H284" s="10">
        <f t="shared" si="49"/>
        <v>80000</v>
      </c>
    </row>
    <row r="285" spans="1:8" x14ac:dyDescent="0.25">
      <c r="B285" s="44"/>
      <c r="C285" s="44"/>
      <c r="D285" s="30">
        <v>323</v>
      </c>
      <c r="E285" s="45" t="s">
        <v>13</v>
      </c>
      <c r="F285" s="12">
        <v>80000</v>
      </c>
      <c r="G285" s="12"/>
      <c r="H285" s="12">
        <f>F285+G285</f>
        <v>80000</v>
      </c>
    </row>
    <row r="286" spans="1:8" ht="25.5" x14ac:dyDescent="0.25">
      <c r="B286" s="48"/>
      <c r="C286" s="48"/>
      <c r="D286" s="48"/>
      <c r="E286" s="130" t="s">
        <v>34</v>
      </c>
      <c r="F286" s="21">
        <f>F288</f>
        <v>2172730.56</v>
      </c>
      <c r="G286" s="21">
        <f t="shared" ref="G286:H286" si="50">G288</f>
        <v>211593.71</v>
      </c>
      <c r="H286" s="21">
        <f t="shared" si="50"/>
        <v>2384324.27</v>
      </c>
    </row>
    <row r="287" spans="1:8" ht="25.5" x14ac:dyDescent="0.25">
      <c r="B287" s="29"/>
      <c r="C287" s="29"/>
      <c r="D287" s="29"/>
      <c r="E287" s="131" t="s">
        <v>35</v>
      </c>
      <c r="F287" s="10"/>
      <c r="G287" s="10"/>
      <c r="H287" s="10"/>
    </row>
    <row r="288" spans="1:8" ht="25.5" x14ac:dyDescent="0.25">
      <c r="B288" s="49"/>
      <c r="C288" s="49"/>
      <c r="D288" s="49"/>
      <c r="E288" s="132" t="s">
        <v>36</v>
      </c>
      <c r="F288" s="23">
        <f>F289+F296+F305+F310+F318+F326+F331+F344+F336+F349+F354</f>
        <v>2172730.56</v>
      </c>
      <c r="G288" s="23">
        <f>G289+G296+G305+G310+G318+G326+G331+G344+G336+G349+G354++G362</f>
        <v>211593.71</v>
      </c>
      <c r="H288" s="23">
        <f>H289+H296+H305+H310+H318+H326+H331+H344+H336+H349+H354+H362</f>
        <v>2384324.27</v>
      </c>
    </row>
    <row r="289" spans="2:8" x14ac:dyDescent="0.25">
      <c r="B289" s="31"/>
      <c r="C289" s="31"/>
      <c r="D289" s="31"/>
      <c r="E289" s="40" t="s">
        <v>139</v>
      </c>
      <c r="F289" s="26">
        <f>F291</f>
        <v>160000</v>
      </c>
      <c r="G289" s="26">
        <f t="shared" ref="G289:H289" si="51">G291</f>
        <v>0</v>
      </c>
      <c r="H289" s="26">
        <f t="shared" si="51"/>
        <v>160000</v>
      </c>
    </row>
    <row r="290" spans="2:8" x14ac:dyDescent="0.25">
      <c r="B290" s="31"/>
      <c r="C290" s="31"/>
      <c r="D290" s="31"/>
      <c r="E290" s="27" t="s">
        <v>29</v>
      </c>
      <c r="F290" s="10">
        <v>160000</v>
      </c>
      <c r="G290" s="10"/>
      <c r="H290" s="10">
        <v>160000</v>
      </c>
    </row>
    <row r="291" spans="2:8" x14ac:dyDescent="0.25">
      <c r="B291" s="29">
        <v>3</v>
      </c>
      <c r="C291" s="29"/>
      <c r="D291" s="29"/>
      <c r="E291" s="29" t="s">
        <v>6</v>
      </c>
      <c r="F291" s="10">
        <f>F292+F294</f>
        <v>160000</v>
      </c>
      <c r="G291" s="10">
        <f t="shared" ref="G291:H291" si="52">G292+G294</f>
        <v>0</v>
      </c>
      <c r="H291" s="10">
        <f t="shared" si="52"/>
        <v>160000</v>
      </c>
    </row>
    <row r="292" spans="2:8" x14ac:dyDescent="0.25">
      <c r="B292" s="29"/>
      <c r="C292" s="29">
        <v>35</v>
      </c>
      <c r="D292" s="29"/>
      <c r="E292" s="29" t="s">
        <v>37</v>
      </c>
      <c r="F292" s="10">
        <f>F293</f>
        <v>155000</v>
      </c>
      <c r="G292" s="10">
        <f t="shared" ref="G292:H292" si="53">G293</f>
        <v>0</v>
      </c>
      <c r="H292" s="10">
        <f t="shared" si="53"/>
        <v>155000</v>
      </c>
    </row>
    <row r="293" spans="2:8" x14ac:dyDescent="0.25">
      <c r="B293" s="44"/>
      <c r="C293" s="44"/>
      <c r="D293" s="30">
        <v>352</v>
      </c>
      <c r="E293" s="45" t="s">
        <v>138</v>
      </c>
      <c r="F293" s="12">
        <f>15000+130000+10000</f>
        <v>155000</v>
      </c>
      <c r="G293" s="12"/>
      <c r="H293" s="12">
        <f>F293+G293</f>
        <v>155000</v>
      </c>
    </row>
    <row r="294" spans="2:8" x14ac:dyDescent="0.25">
      <c r="B294" s="44"/>
      <c r="C294" s="29">
        <v>38</v>
      </c>
      <c r="D294" s="30"/>
      <c r="E294" s="37" t="s">
        <v>15</v>
      </c>
      <c r="F294" s="10">
        <f>F295</f>
        <v>5000</v>
      </c>
      <c r="G294" s="10">
        <f t="shared" ref="G294:H294" si="54">G295</f>
        <v>0</v>
      </c>
      <c r="H294" s="10">
        <f t="shared" si="54"/>
        <v>5000</v>
      </c>
    </row>
    <row r="295" spans="2:8" ht="26.25" x14ac:dyDescent="0.25">
      <c r="B295" s="11"/>
      <c r="C295" s="11"/>
      <c r="D295" s="11">
        <v>381</v>
      </c>
      <c r="E295" s="154" t="s">
        <v>38</v>
      </c>
      <c r="F295" s="12">
        <v>5000</v>
      </c>
      <c r="G295" s="12"/>
      <c r="H295" s="12">
        <f>F295+G295</f>
        <v>5000</v>
      </c>
    </row>
    <row r="296" spans="2:8" x14ac:dyDescent="0.25">
      <c r="B296" s="46"/>
      <c r="C296" s="34"/>
      <c r="D296" s="34"/>
      <c r="E296" s="136" t="s">
        <v>41</v>
      </c>
      <c r="F296" s="26">
        <f>F299</f>
        <v>1668874.56</v>
      </c>
      <c r="G296" s="26">
        <f t="shared" ref="G296:H296" si="55">G299</f>
        <v>28750</v>
      </c>
      <c r="H296" s="26">
        <f t="shared" si="55"/>
        <v>1697624.56</v>
      </c>
    </row>
    <row r="297" spans="2:8" x14ac:dyDescent="0.25">
      <c r="B297" s="46"/>
      <c r="C297" s="34"/>
      <c r="D297" s="34"/>
      <c r="E297" s="27" t="s">
        <v>29</v>
      </c>
      <c r="F297" s="10">
        <f>F296-F298</f>
        <v>182159.20999999996</v>
      </c>
      <c r="G297" s="10"/>
      <c r="H297" s="10">
        <f>H296-H298</f>
        <v>1149628.56</v>
      </c>
    </row>
    <row r="298" spans="2:8" x14ac:dyDescent="0.25">
      <c r="B298" s="46"/>
      <c r="C298" s="34"/>
      <c r="D298" s="34"/>
      <c r="E298" s="27" t="s">
        <v>169</v>
      </c>
      <c r="F298" s="10">
        <f>936715.35+550000</f>
        <v>1486715.35</v>
      </c>
      <c r="G298" s="10"/>
      <c r="H298" s="10">
        <f>347996+200000</f>
        <v>547996</v>
      </c>
    </row>
    <row r="299" spans="2:8" ht="26.25" x14ac:dyDescent="0.25">
      <c r="B299" s="29">
        <v>4</v>
      </c>
      <c r="C299" s="29"/>
      <c r="D299" s="29"/>
      <c r="E299" s="37" t="s">
        <v>39</v>
      </c>
      <c r="F299" s="10">
        <f>F300</f>
        <v>1668874.56</v>
      </c>
      <c r="G299" s="10">
        <f t="shared" ref="G299:H300" si="56">G300</f>
        <v>28750</v>
      </c>
      <c r="H299" s="10">
        <f t="shared" si="56"/>
        <v>1697624.56</v>
      </c>
    </row>
    <row r="300" spans="2:8" ht="26.25" x14ac:dyDescent="0.25">
      <c r="B300" s="30"/>
      <c r="C300" s="29">
        <v>42</v>
      </c>
      <c r="D300" s="30"/>
      <c r="E300" s="37" t="s">
        <v>40</v>
      </c>
      <c r="F300" s="86">
        <f>F301</f>
        <v>1668874.56</v>
      </c>
      <c r="G300" s="86">
        <f t="shared" si="56"/>
        <v>28750</v>
      </c>
      <c r="H300" s="86">
        <f t="shared" si="56"/>
        <v>1697624.56</v>
      </c>
    </row>
    <row r="301" spans="2:8" x14ac:dyDescent="0.25">
      <c r="B301" s="30"/>
      <c r="C301" s="30"/>
      <c r="D301" s="30">
        <v>421</v>
      </c>
      <c r="E301" s="45" t="s">
        <v>42</v>
      </c>
      <c r="F301" s="55">
        <f>581028+820175+74238.75+73970.31+45412.5+74050</f>
        <v>1668874.56</v>
      </c>
      <c r="G301" s="12">
        <f>G302+G303+G304</f>
        <v>28750</v>
      </c>
      <c r="H301" s="12">
        <f>F301+G301</f>
        <v>1697624.56</v>
      </c>
    </row>
    <row r="302" spans="2:8" ht="26.25" x14ac:dyDescent="0.25">
      <c r="B302" s="34"/>
      <c r="C302" s="34"/>
      <c r="D302" s="34"/>
      <c r="E302" s="45" t="s">
        <v>202</v>
      </c>
      <c r="F302" s="55">
        <v>267671.56</v>
      </c>
      <c r="G302" s="12"/>
      <c r="H302" s="12">
        <f t="shared" ref="H302:H304" si="57">F302+G302</f>
        <v>267671.56</v>
      </c>
    </row>
    <row r="303" spans="2:8" ht="26.25" x14ac:dyDescent="0.25">
      <c r="B303" s="34"/>
      <c r="C303" s="34"/>
      <c r="D303" s="34"/>
      <c r="E303" s="45" t="s">
        <v>203</v>
      </c>
      <c r="F303" s="55">
        <v>820175</v>
      </c>
      <c r="G303" s="12">
        <v>17500</v>
      </c>
      <c r="H303" s="12">
        <f t="shared" si="57"/>
        <v>837675</v>
      </c>
    </row>
    <row r="304" spans="2:8" ht="26.25" x14ac:dyDescent="0.25">
      <c r="B304" s="34"/>
      <c r="C304" s="34"/>
      <c r="D304" s="34"/>
      <c r="E304" s="45" t="s">
        <v>204</v>
      </c>
      <c r="F304" s="55">
        <v>581028</v>
      </c>
      <c r="G304" s="12">
        <v>11250</v>
      </c>
      <c r="H304" s="12">
        <f t="shared" si="57"/>
        <v>592278</v>
      </c>
    </row>
    <row r="305" spans="2:8" x14ac:dyDescent="0.25">
      <c r="B305" s="50"/>
      <c r="C305" s="51"/>
      <c r="D305" s="51"/>
      <c r="E305" s="134" t="s">
        <v>43</v>
      </c>
      <c r="F305" s="135">
        <f>F307</f>
        <v>10000</v>
      </c>
      <c r="G305" s="135">
        <f t="shared" ref="G305:H305" si="58">G307</f>
        <v>0</v>
      </c>
      <c r="H305" s="135">
        <f t="shared" si="58"/>
        <v>10000</v>
      </c>
    </row>
    <row r="306" spans="2:8" x14ac:dyDescent="0.25">
      <c r="B306" s="52"/>
      <c r="C306" s="34"/>
      <c r="D306" s="34"/>
      <c r="E306" s="33" t="s">
        <v>29</v>
      </c>
      <c r="F306" s="10">
        <v>10000</v>
      </c>
      <c r="G306" s="10"/>
      <c r="H306" s="10">
        <v>10000</v>
      </c>
    </row>
    <row r="307" spans="2:8" x14ac:dyDescent="0.25">
      <c r="B307" s="53">
        <v>3</v>
      </c>
      <c r="C307" s="53"/>
      <c r="D307" s="53"/>
      <c r="E307" s="53" t="s">
        <v>6</v>
      </c>
      <c r="F307" s="10">
        <f t="shared" ref="F307:H308" si="59">F308</f>
        <v>10000</v>
      </c>
      <c r="G307" s="10">
        <f t="shared" si="59"/>
        <v>0</v>
      </c>
      <c r="H307" s="10">
        <f t="shared" si="59"/>
        <v>10000</v>
      </c>
    </row>
    <row r="308" spans="2:8" x14ac:dyDescent="0.25">
      <c r="B308" s="53"/>
      <c r="C308" s="53">
        <v>37</v>
      </c>
      <c r="D308" s="53"/>
      <c r="E308" s="53" t="s">
        <v>44</v>
      </c>
      <c r="F308" s="10">
        <f t="shared" si="59"/>
        <v>10000</v>
      </c>
      <c r="G308" s="10">
        <f t="shared" si="59"/>
        <v>0</v>
      </c>
      <c r="H308" s="10">
        <f t="shared" si="59"/>
        <v>10000</v>
      </c>
    </row>
    <row r="309" spans="2:8" x14ac:dyDescent="0.25">
      <c r="B309" s="54"/>
      <c r="C309" s="30"/>
      <c r="D309" s="30">
        <v>372</v>
      </c>
      <c r="E309" s="30" t="s">
        <v>45</v>
      </c>
      <c r="F309" s="12">
        <v>10000</v>
      </c>
      <c r="G309" s="12"/>
      <c r="H309" s="12">
        <f>F309+G309</f>
        <v>10000</v>
      </c>
    </row>
    <row r="310" spans="2:8" ht="26.25" x14ac:dyDescent="0.25">
      <c r="B310" s="31"/>
      <c r="C310" s="31"/>
      <c r="D310" s="31"/>
      <c r="E310" s="40" t="s">
        <v>46</v>
      </c>
      <c r="F310" s="26">
        <f>F313</f>
        <v>129000</v>
      </c>
      <c r="G310" s="26">
        <f t="shared" ref="G310:H310" si="60">G313</f>
        <v>15000</v>
      </c>
      <c r="H310" s="26">
        <f t="shared" si="60"/>
        <v>144000</v>
      </c>
    </row>
    <row r="311" spans="2:8" x14ac:dyDescent="0.25">
      <c r="B311" s="31"/>
      <c r="C311" s="31"/>
      <c r="D311" s="31"/>
      <c r="E311" s="27" t="s">
        <v>145</v>
      </c>
      <c r="F311" s="95">
        <f>F310-F312</f>
        <v>20000</v>
      </c>
      <c r="G311" s="95"/>
      <c r="H311" s="95">
        <f>H310-H312</f>
        <v>41000</v>
      </c>
    </row>
    <row r="312" spans="2:8" x14ac:dyDescent="0.25">
      <c r="B312" s="31"/>
      <c r="C312" s="31"/>
      <c r="D312" s="31"/>
      <c r="E312" s="27" t="s">
        <v>229</v>
      </c>
      <c r="F312" s="95">
        <v>109000</v>
      </c>
      <c r="G312" s="95"/>
      <c r="H312" s="95">
        <f>109000-6000</f>
        <v>103000</v>
      </c>
    </row>
    <row r="313" spans="2:8" x14ac:dyDescent="0.25">
      <c r="B313" s="29">
        <v>3</v>
      </c>
      <c r="C313" s="29"/>
      <c r="D313" s="29"/>
      <c r="E313" s="29" t="s">
        <v>6</v>
      </c>
      <c r="F313" s="10">
        <f>F314</f>
        <v>129000</v>
      </c>
      <c r="G313" s="10">
        <f t="shared" ref="G313:H313" si="61">G314</f>
        <v>15000</v>
      </c>
      <c r="H313" s="10">
        <f t="shared" si="61"/>
        <v>144000</v>
      </c>
    </row>
    <row r="314" spans="2:8" x14ac:dyDescent="0.25">
      <c r="B314" s="29"/>
      <c r="C314" s="29">
        <v>32</v>
      </c>
      <c r="D314" s="29"/>
      <c r="E314" s="29" t="s">
        <v>11</v>
      </c>
      <c r="F314" s="10">
        <f>F315+F316+F317</f>
        <v>129000</v>
      </c>
      <c r="G314" s="10">
        <f t="shared" ref="G314:H314" si="62">G315+G316+G317</f>
        <v>15000</v>
      </c>
      <c r="H314" s="10">
        <f t="shared" si="62"/>
        <v>144000</v>
      </c>
    </row>
    <row r="315" spans="2:8" x14ac:dyDescent="0.25">
      <c r="B315" s="30"/>
      <c r="C315" s="30"/>
      <c r="D315" s="30">
        <v>322</v>
      </c>
      <c r="E315" s="30" t="s">
        <v>22</v>
      </c>
      <c r="F315" s="12">
        <f>6000</f>
        <v>6000</v>
      </c>
      <c r="G315" s="12"/>
      <c r="H315" s="12">
        <f>F315+G315</f>
        <v>6000</v>
      </c>
    </row>
    <row r="316" spans="2:8" x14ac:dyDescent="0.25">
      <c r="B316" s="30"/>
      <c r="C316" s="30"/>
      <c r="D316" s="30">
        <v>323</v>
      </c>
      <c r="E316" s="30" t="s">
        <v>13</v>
      </c>
      <c r="F316" s="12">
        <f>16000+18000+85000</f>
        <v>119000</v>
      </c>
      <c r="G316" s="12">
        <v>15000</v>
      </c>
      <c r="H316" s="12">
        <f t="shared" ref="H316:H317" si="63">F316+G316</f>
        <v>134000</v>
      </c>
    </row>
    <row r="317" spans="2:8" x14ac:dyDescent="0.25">
      <c r="B317" s="11"/>
      <c r="C317" s="11"/>
      <c r="D317" s="11">
        <v>329</v>
      </c>
      <c r="E317" s="154" t="s">
        <v>14</v>
      </c>
      <c r="F317" s="12">
        <v>4000</v>
      </c>
      <c r="G317" s="12"/>
      <c r="H317" s="12">
        <f t="shared" si="63"/>
        <v>4000</v>
      </c>
    </row>
    <row r="318" spans="2:8" x14ac:dyDescent="0.25">
      <c r="B318" s="31"/>
      <c r="C318" s="31"/>
      <c r="D318" s="31"/>
      <c r="E318" s="40" t="s">
        <v>47</v>
      </c>
      <c r="F318" s="26">
        <f>F321</f>
        <v>24856</v>
      </c>
      <c r="G318" s="26">
        <f t="shared" ref="G318:H318" si="64">G321</f>
        <v>-2500</v>
      </c>
      <c r="H318" s="26">
        <f t="shared" si="64"/>
        <v>22356</v>
      </c>
    </row>
    <row r="319" spans="2:8" x14ac:dyDescent="0.25">
      <c r="B319" s="31"/>
      <c r="C319" s="31"/>
      <c r="D319" s="31"/>
      <c r="E319" s="27" t="s">
        <v>29</v>
      </c>
      <c r="F319" s="95">
        <f>F318-F320</f>
        <v>5856</v>
      </c>
      <c r="G319" s="95"/>
      <c r="H319" s="95">
        <f>H318-H320</f>
        <v>3356</v>
      </c>
    </row>
    <row r="320" spans="2:8" x14ac:dyDescent="0.25">
      <c r="B320" s="31"/>
      <c r="C320" s="31"/>
      <c r="D320" s="31"/>
      <c r="E320" s="27" t="s">
        <v>229</v>
      </c>
      <c r="F320" s="95">
        <v>19000</v>
      </c>
      <c r="G320" s="95"/>
      <c r="H320" s="95">
        <v>19000</v>
      </c>
    </row>
    <row r="321" spans="2:8" x14ac:dyDescent="0.25">
      <c r="B321" s="29">
        <v>3</v>
      </c>
      <c r="C321" s="29"/>
      <c r="D321" s="29"/>
      <c r="E321" s="29" t="s">
        <v>6</v>
      </c>
      <c r="F321" s="10">
        <f>F322</f>
        <v>24856</v>
      </c>
      <c r="G321" s="10">
        <f t="shared" ref="G321:H321" si="65">G322</f>
        <v>-2500</v>
      </c>
      <c r="H321" s="10">
        <f t="shared" si="65"/>
        <v>22356</v>
      </c>
    </row>
    <row r="322" spans="2:8" x14ac:dyDescent="0.25">
      <c r="B322" s="29"/>
      <c r="C322" s="29">
        <v>32</v>
      </c>
      <c r="D322" s="29"/>
      <c r="E322" s="29" t="s">
        <v>11</v>
      </c>
      <c r="F322" s="10">
        <f>F323+F324+F325</f>
        <v>24856</v>
      </c>
      <c r="G322" s="10">
        <f t="shared" ref="G322:H322" si="66">G323+G324+G325</f>
        <v>-2500</v>
      </c>
      <c r="H322" s="10">
        <f t="shared" si="66"/>
        <v>22356</v>
      </c>
    </row>
    <row r="323" spans="2:8" x14ac:dyDescent="0.25">
      <c r="B323" s="44"/>
      <c r="C323" s="44"/>
      <c r="D323" s="30">
        <v>322</v>
      </c>
      <c r="E323" s="30" t="s">
        <v>22</v>
      </c>
      <c r="F323" s="12">
        <f>2500+4000</f>
        <v>6500</v>
      </c>
      <c r="G323" s="12">
        <v>-3000</v>
      </c>
      <c r="H323" s="12">
        <f>F323+G323</f>
        <v>3500</v>
      </c>
    </row>
    <row r="324" spans="2:8" x14ac:dyDescent="0.25">
      <c r="B324" s="11"/>
      <c r="C324" s="11"/>
      <c r="D324" s="11">
        <v>323</v>
      </c>
      <c r="E324" s="11" t="s">
        <v>13</v>
      </c>
      <c r="F324" s="55">
        <f>5856+5000+3500</f>
        <v>14356</v>
      </c>
      <c r="G324" s="12">
        <v>500</v>
      </c>
      <c r="H324" s="12">
        <f t="shared" ref="H324:H325" si="67">F324+G324</f>
        <v>14856</v>
      </c>
    </row>
    <row r="325" spans="2:8" x14ac:dyDescent="0.25">
      <c r="B325" s="11"/>
      <c r="C325" s="11"/>
      <c r="D325" s="11">
        <v>329</v>
      </c>
      <c r="E325" s="154" t="s">
        <v>14</v>
      </c>
      <c r="F325" s="12">
        <v>4000</v>
      </c>
      <c r="G325" s="12"/>
      <c r="H325" s="12">
        <f t="shared" si="67"/>
        <v>4000</v>
      </c>
    </row>
    <row r="326" spans="2:8" ht="26.25" x14ac:dyDescent="0.25">
      <c r="B326" s="56"/>
      <c r="C326" s="56"/>
      <c r="D326" s="56"/>
      <c r="E326" s="57" t="s">
        <v>179</v>
      </c>
      <c r="F326" s="58">
        <f>F328</f>
        <v>5000</v>
      </c>
      <c r="G326" s="58">
        <f t="shared" ref="G326:H326" si="68">G328</f>
        <v>0</v>
      </c>
      <c r="H326" s="58">
        <f t="shared" si="68"/>
        <v>5000</v>
      </c>
    </row>
    <row r="327" spans="2:8" x14ac:dyDescent="0.25">
      <c r="B327" s="15"/>
      <c r="C327" s="15"/>
      <c r="D327" s="15"/>
      <c r="E327" s="64" t="s">
        <v>145</v>
      </c>
      <c r="F327" s="10">
        <v>5000</v>
      </c>
      <c r="G327" s="10"/>
      <c r="H327" s="10">
        <v>5000</v>
      </c>
    </row>
    <row r="328" spans="2:8" x14ac:dyDescent="0.25">
      <c r="B328" s="9">
        <v>3</v>
      </c>
      <c r="C328" s="9"/>
      <c r="D328" s="9"/>
      <c r="E328" s="14" t="s">
        <v>6</v>
      </c>
      <c r="F328" s="10">
        <f t="shared" ref="F328:H329" si="69">F329</f>
        <v>5000</v>
      </c>
      <c r="G328" s="10">
        <f t="shared" si="69"/>
        <v>0</v>
      </c>
      <c r="H328" s="10">
        <f t="shared" si="69"/>
        <v>5000</v>
      </c>
    </row>
    <row r="329" spans="2:8" x14ac:dyDescent="0.25">
      <c r="B329" s="9"/>
      <c r="C329" s="9">
        <v>35</v>
      </c>
      <c r="D329" s="9"/>
      <c r="E329" s="14" t="s">
        <v>37</v>
      </c>
      <c r="F329" s="10">
        <f t="shared" si="69"/>
        <v>5000</v>
      </c>
      <c r="G329" s="10">
        <f t="shared" si="69"/>
        <v>0</v>
      </c>
      <c r="H329" s="10">
        <f t="shared" si="69"/>
        <v>5000</v>
      </c>
    </row>
    <row r="330" spans="2:8" x14ac:dyDescent="0.25">
      <c r="B330" s="11"/>
      <c r="C330" s="11"/>
      <c r="D330" s="11">
        <v>352</v>
      </c>
      <c r="E330" s="154" t="s">
        <v>49</v>
      </c>
      <c r="F330" s="12">
        <v>5000</v>
      </c>
      <c r="G330" s="12"/>
      <c r="H330" s="12">
        <f>F330+G330</f>
        <v>5000</v>
      </c>
    </row>
    <row r="331" spans="2:8" x14ac:dyDescent="0.25">
      <c r="B331" s="41"/>
      <c r="C331" s="41"/>
      <c r="D331" s="41"/>
      <c r="E331" s="59" t="s">
        <v>118</v>
      </c>
      <c r="F331" s="60">
        <f>F333</f>
        <v>5000</v>
      </c>
      <c r="G331" s="60">
        <f t="shared" ref="G331:H331" si="70">G333</f>
        <v>0</v>
      </c>
      <c r="H331" s="60">
        <f t="shared" si="70"/>
        <v>5000</v>
      </c>
    </row>
    <row r="332" spans="2:8" x14ac:dyDescent="0.25">
      <c r="B332" s="15"/>
      <c r="C332" s="15"/>
      <c r="D332" s="15"/>
      <c r="E332" s="64" t="s">
        <v>145</v>
      </c>
      <c r="F332" s="10">
        <v>5000</v>
      </c>
      <c r="G332" s="10"/>
      <c r="H332" s="10">
        <v>5000</v>
      </c>
    </row>
    <row r="333" spans="2:8" x14ac:dyDescent="0.25">
      <c r="B333" s="9">
        <v>3</v>
      </c>
      <c r="C333" s="9"/>
      <c r="D333" s="9"/>
      <c r="E333" s="14" t="s">
        <v>6</v>
      </c>
      <c r="F333" s="61">
        <f>F334</f>
        <v>5000</v>
      </c>
      <c r="G333" s="61">
        <f t="shared" ref="G333:H334" si="71">G334</f>
        <v>0</v>
      </c>
      <c r="H333" s="61">
        <f t="shared" si="71"/>
        <v>5000</v>
      </c>
    </row>
    <row r="334" spans="2:8" x14ac:dyDescent="0.25">
      <c r="B334" s="9"/>
      <c r="C334" s="9">
        <v>32</v>
      </c>
      <c r="D334" s="9"/>
      <c r="E334" s="14" t="s">
        <v>11</v>
      </c>
      <c r="F334" s="10">
        <f>F335</f>
        <v>5000</v>
      </c>
      <c r="G334" s="10">
        <f t="shared" si="71"/>
        <v>0</v>
      </c>
      <c r="H334" s="10">
        <f t="shared" si="71"/>
        <v>5000</v>
      </c>
    </row>
    <row r="335" spans="2:8" x14ac:dyDescent="0.25">
      <c r="B335" s="11"/>
      <c r="C335" s="11"/>
      <c r="D335" s="11">
        <v>323</v>
      </c>
      <c r="E335" s="11" t="s">
        <v>13</v>
      </c>
      <c r="F335" s="12">
        <v>5000</v>
      </c>
      <c r="G335" s="12"/>
      <c r="H335" s="12">
        <f>F335+G335</f>
        <v>5000</v>
      </c>
    </row>
    <row r="336" spans="2:8" ht="26.25" x14ac:dyDescent="0.25">
      <c r="B336" s="71"/>
      <c r="C336" s="71"/>
      <c r="D336" s="72"/>
      <c r="E336" s="73" t="s">
        <v>149</v>
      </c>
      <c r="F336" s="74">
        <f>F338</f>
        <v>10000</v>
      </c>
      <c r="G336" s="74">
        <f>G338+G341</f>
        <v>72274.12</v>
      </c>
      <c r="H336" s="74">
        <f>H338+H341</f>
        <v>82274.12</v>
      </c>
    </row>
    <row r="337" spans="1:8" x14ac:dyDescent="0.25">
      <c r="B337" s="75"/>
      <c r="C337" s="75"/>
      <c r="D337" s="76"/>
      <c r="E337" s="101" t="s">
        <v>145</v>
      </c>
      <c r="F337" s="80">
        <v>10000</v>
      </c>
      <c r="G337" s="80"/>
      <c r="H337" s="80">
        <v>82274.12</v>
      </c>
    </row>
    <row r="338" spans="1:8" x14ac:dyDescent="0.25">
      <c r="B338" s="77">
        <v>3</v>
      </c>
      <c r="C338" s="77"/>
      <c r="D338" s="77"/>
      <c r="E338" s="78" t="s">
        <v>6</v>
      </c>
      <c r="F338" s="79">
        <f>F339</f>
        <v>10000</v>
      </c>
      <c r="G338" s="79">
        <f t="shared" ref="G338:H339" si="72">G339</f>
        <v>0</v>
      </c>
      <c r="H338" s="79">
        <f t="shared" si="72"/>
        <v>10000</v>
      </c>
    </row>
    <row r="339" spans="1:8" x14ac:dyDescent="0.25">
      <c r="B339" s="77"/>
      <c r="C339" s="77">
        <v>32</v>
      </c>
      <c r="D339" s="77"/>
      <c r="E339" s="78" t="s">
        <v>137</v>
      </c>
      <c r="F339" s="79">
        <f>F340</f>
        <v>10000</v>
      </c>
      <c r="G339" s="79">
        <f t="shared" si="72"/>
        <v>0</v>
      </c>
      <c r="H339" s="79">
        <f t="shared" si="72"/>
        <v>10000</v>
      </c>
    </row>
    <row r="340" spans="1:8" x14ac:dyDescent="0.25">
      <c r="B340" s="81"/>
      <c r="C340" s="82"/>
      <c r="D340" s="82">
        <v>323</v>
      </c>
      <c r="E340" s="83" t="s">
        <v>13</v>
      </c>
      <c r="F340" s="84">
        <v>10000</v>
      </c>
      <c r="G340" s="84"/>
      <c r="H340" s="84">
        <f>F340+G340</f>
        <v>10000</v>
      </c>
    </row>
    <row r="341" spans="1:8" ht="26.25" x14ac:dyDescent="0.25">
      <c r="B341" s="29">
        <v>4</v>
      </c>
      <c r="C341" s="29"/>
      <c r="D341" s="29"/>
      <c r="E341" s="37" t="s">
        <v>39</v>
      </c>
      <c r="F341" s="84"/>
      <c r="G341" s="80">
        <f>G342</f>
        <v>72274.12</v>
      </c>
      <c r="H341" s="80">
        <f>H342</f>
        <v>72274.12</v>
      </c>
    </row>
    <row r="342" spans="1:8" ht="26.25" x14ac:dyDescent="0.25">
      <c r="B342" s="81"/>
      <c r="C342" s="29">
        <v>42</v>
      </c>
      <c r="D342" s="30"/>
      <c r="E342" s="37" t="s">
        <v>40</v>
      </c>
      <c r="F342" s="84"/>
      <c r="G342" s="80">
        <f>G343</f>
        <v>72274.12</v>
      </c>
      <c r="H342" s="80">
        <f>H343</f>
        <v>72274.12</v>
      </c>
    </row>
    <row r="343" spans="1:8" x14ac:dyDescent="0.25">
      <c r="B343" s="81"/>
      <c r="C343" s="82"/>
      <c r="D343" s="82">
        <v>421</v>
      </c>
      <c r="E343" s="83" t="s">
        <v>51</v>
      </c>
      <c r="F343" s="84"/>
      <c r="G343" s="84">
        <f>72274.12</f>
        <v>72274.12</v>
      </c>
      <c r="H343" s="84">
        <f>F343+G343</f>
        <v>72274.12</v>
      </c>
    </row>
    <row r="344" spans="1:8" ht="26.25" x14ac:dyDescent="0.25">
      <c r="B344" s="71"/>
      <c r="C344" s="71"/>
      <c r="D344" s="72"/>
      <c r="E344" s="73" t="s">
        <v>178</v>
      </c>
      <c r="F344" s="74">
        <f>F346</f>
        <v>10000</v>
      </c>
      <c r="G344" s="74">
        <f t="shared" ref="G344:H344" si="73">G346</f>
        <v>90000</v>
      </c>
      <c r="H344" s="74">
        <f t="shared" si="73"/>
        <v>100000</v>
      </c>
    </row>
    <row r="345" spans="1:8" x14ac:dyDescent="0.25">
      <c r="B345" s="75"/>
      <c r="C345" s="75"/>
      <c r="D345" s="76"/>
      <c r="E345" s="101" t="s">
        <v>29</v>
      </c>
      <c r="F345" s="80">
        <v>10000</v>
      </c>
      <c r="G345" s="80"/>
      <c r="H345" s="80">
        <v>100000</v>
      </c>
    </row>
    <row r="346" spans="1:8" x14ac:dyDescent="0.25">
      <c r="B346" s="77">
        <v>3</v>
      </c>
      <c r="C346" s="77"/>
      <c r="D346" s="77"/>
      <c r="E346" s="78" t="s">
        <v>6</v>
      </c>
      <c r="F346" s="79">
        <f>F347</f>
        <v>10000</v>
      </c>
      <c r="G346" s="79">
        <f t="shared" ref="G346:H347" si="74">G347</f>
        <v>90000</v>
      </c>
      <c r="H346" s="79">
        <f t="shared" si="74"/>
        <v>100000</v>
      </c>
    </row>
    <row r="347" spans="1:8" x14ac:dyDescent="0.25">
      <c r="B347" s="77"/>
      <c r="C347" s="77">
        <v>32</v>
      </c>
      <c r="D347" s="77"/>
      <c r="E347" s="78" t="s">
        <v>137</v>
      </c>
      <c r="F347" s="79">
        <f>F348</f>
        <v>10000</v>
      </c>
      <c r="G347" s="79">
        <f t="shared" si="74"/>
        <v>90000</v>
      </c>
      <c r="H347" s="79">
        <f t="shared" si="74"/>
        <v>100000</v>
      </c>
    </row>
    <row r="348" spans="1:8" x14ac:dyDescent="0.25">
      <c r="B348" s="81"/>
      <c r="C348" s="82"/>
      <c r="D348" s="82">
        <v>323</v>
      </c>
      <c r="E348" s="83" t="s">
        <v>13</v>
      </c>
      <c r="F348" s="84">
        <v>10000</v>
      </c>
      <c r="G348" s="84">
        <f>20000+70000</f>
        <v>90000</v>
      </c>
      <c r="H348" s="84">
        <f>F348+G348</f>
        <v>100000</v>
      </c>
    </row>
    <row r="349" spans="1:8" ht="26.25" x14ac:dyDescent="0.25">
      <c r="B349" s="180"/>
      <c r="C349" s="179"/>
      <c r="D349" s="178"/>
      <c r="E349" s="93" t="s">
        <v>194</v>
      </c>
      <c r="F349" s="114">
        <f>F351</f>
        <v>10000</v>
      </c>
      <c r="G349" s="114">
        <f t="shared" ref="G349:H349" si="75">G351</f>
        <v>0</v>
      </c>
      <c r="H349" s="114">
        <f t="shared" si="75"/>
        <v>10000</v>
      </c>
    </row>
    <row r="350" spans="1:8" x14ac:dyDescent="0.25">
      <c r="A350" s="181"/>
      <c r="B350" s="182"/>
      <c r="C350" s="184"/>
      <c r="D350" s="183"/>
      <c r="E350" s="101" t="s">
        <v>29</v>
      </c>
      <c r="F350" s="80">
        <v>10000</v>
      </c>
      <c r="G350" s="80"/>
      <c r="H350" s="80">
        <v>10000</v>
      </c>
    </row>
    <row r="351" spans="1:8" x14ac:dyDescent="0.25">
      <c r="B351" s="77">
        <v>3</v>
      </c>
      <c r="C351" s="77"/>
      <c r="D351" s="77"/>
      <c r="E351" s="78" t="s">
        <v>6</v>
      </c>
      <c r="F351" s="80">
        <f>F352</f>
        <v>10000</v>
      </c>
      <c r="G351" s="80">
        <f t="shared" ref="G351:H352" si="76">G352</f>
        <v>0</v>
      </c>
      <c r="H351" s="80">
        <f t="shared" si="76"/>
        <v>10000</v>
      </c>
    </row>
    <row r="352" spans="1:8" x14ac:dyDescent="0.25">
      <c r="B352" s="77"/>
      <c r="C352" s="77">
        <v>32</v>
      </c>
      <c r="D352" s="77"/>
      <c r="E352" s="78" t="s">
        <v>137</v>
      </c>
      <c r="F352" s="80">
        <f>F353</f>
        <v>10000</v>
      </c>
      <c r="G352" s="80">
        <f t="shared" si="76"/>
        <v>0</v>
      </c>
      <c r="H352" s="80">
        <f t="shared" si="76"/>
        <v>10000</v>
      </c>
    </row>
    <row r="353" spans="2:8" x14ac:dyDescent="0.25">
      <c r="B353" s="81"/>
      <c r="C353" s="82"/>
      <c r="D353" s="82">
        <v>323</v>
      </c>
      <c r="E353" s="83" t="s">
        <v>13</v>
      </c>
      <c r="F353" s="84">
        <v>10000</v>
      </c>
      <c r="G353" s="84"/>
      <c r="H353" s="84">
        <f>F353+G353</f>
        <v>10000</v>
      </c>
    </row>
    <row r="354" spans="2:8" ht="26.25" x14ac:dyDescent="0.25">
      <c r="B354" s="137"/>
      <c r="C354" s="139"/>
      <c r="D354" s="138"/>
      <c r="E354" s="93" t="s">
        <v>206</v>
      </c>
      <c r="F354" s="114">
        <f>F356</f>
        <v>140000</v>
      </c>
      <c r="G354" s="114">
        <f>G356+G359</f>
        <v>0</v>
      </c>
      <c r="H354" s="114">
        <f>H356+H359</f>
        <v>140000</v>
      </c>
    </row>
    <row r="355" spans="2:8" x14ac:dyDescent="0.25">
      <c r="B355" s="81"/>
      <c r="C355" s="82"/>
      <c r="D355" s="82"/>
      <c r="E355" s="101" t="s">
        <v>29</v>
      </c>
      <c r="F355" s="166">
        <v>140000</v>
      </c>
      <c r="G355" s="166"/>
      <c r="H355" s="166">
        <v>140000</v>
      </c>
    </row>
    <row r="356" spans="2:8" ht="26.25" x14ac:dyDescent="0.25">
      <c r="B356" s="29">
        <v>4</v>
      </c>
      <c r="C356" s="29"/>
      <c r="D356" s="29"/>
      <c r="E356" s="37" t="s">
        <v>39</v>
      </c>
      <c r="F356" s="80">
        <f>F357</f>
        <v>140000</v>
      </c>
      <c r="G356" s="80">
        <f t="shared" ref="G356:H357" si="77">G357</f>
        <v>-140000</v>
      </c>
      <c r="H356" s="80">
        <f t="shared" si="77"/>
        <v>0</v>
      </c>
    </row>
    <row r="357" spans="2:8" ht="26.25" x14ac:dyDescent="0.25">
      <c r="B357" s="30"/>
      <c r="C357" s="29">
        <v>42</v>
      </c>
      <c r="D357" s="30"/>
      <c r="E357" s="37" t="s">
        <v>40</v>
      </c>
      <c r="F357" s="80">
        <f>F358</f>
        <v>140000</v>
      </c>
      <c r="G357" s="80">
        <f t="shared" si="77"/>
        <v>-140000</v>
      </c>
      <c r="H357" s="80">
        <f t="shared" si="77"/>
        <v>0</v>
      </c>
    </row>
    <row r="358" spans="2:8" x14ac:dyDescent="0.25">
      <c r="B358" s="30"/>
      <c r="C358" s="30"/>
      <c r="D358" s="30">
        <v>421</v>
      </c>
      <c r="E358" s="45" t="s">
        <v>42</v>
      </c>
      <c r="F358" s="84">
        <v>140000</v>
      </c>
      <c r="G358" s="84">
        <v>-140000</v>
      </c>
      <c r="H358" s="84">
        <f>F358+G358</f>
        <v>0</v>
      </c>
    </row>
    <row r="359" spans="2:8" x14ac:dyDescent="0.25">
      <c r="B359" s="163">
        <v>3</v>
      </c>
      <c r="C359" s="163"/>
      <c r="D359" s="164"/>
      <c r="E359" s="37" t="s">
        <v>6</v>
      </c>
      <c r="F359" s="84"/>
      <c r="G359" s="80">
        <f>G360</f>
        <v>140000</v>
      </c>
      <c r="H359" s="80">
        <f>F359+G359</f>
        <v>140000</v>
      </c>
    </row>
    <row r="360" spans="2:8" ht="26.25" x14ac:dyDescent="0.25">
      <c r="B360" s="94"/>
      <c r="C360" s="163">
        <v>36</v>
      </c>
      <c r="D360" s="165"/>
      <c r="E360" s="37" t="s">
        <v>72</v>
      </c>
      <c r="F360" s="84"/>
      <c r="G360" s="80">
        <f>G361</f>
        <v>140000</v>
      </c>
      <c r="H360" s="80">
        <f>F360+G360</f>
        <v>140000</v>
      </c>
    </row>
    <row r="361" spans="2:8" x14ac:dyDescent="0.25">
      <c r="B361" s="94"/>
      <c r="C361" s="94"/>
      <c r="D361" s="165">
        <v>363</v>
      </c>
      <c r="E361" s="45" t="s">
        <v>33</v>
      </c>
      <c r="F361" s="84"/>
      <c r="G361" s="84">
        <v>140000</v>
      </c>
      <c r="H361" s="84">
        <f>F361+G361</f>
        <v>140000</v>
      </c>
    </row>
    <row r="362" spans="2:8" ht="26.25" x14ac:dyDescent="0.25">
      <c r="B362" s="171"/>
      <c r="C362" s="171"/>
      <c r="D362" s="170"/>
      <c r="E362" s="93" t="s">
        <v>218</v>
      </c>
      <c r="F362" s="114"/>
      <c r="G362" s="114">
        <f>G364</f>
        <v>8069.59</v>
      </c>
      <c r="H362" s="114">
        <f>F362+G362</f>
        <v>8069.59</v>
      </c>
    </row>
    <row r="363" spans="2:8" x14ac:dyDescent="0.25">
      <c r="B363" s="173"/>
      <c r="C363" s="173"/>
      <c r="D363" s="172"/>
      <c r="E363" s="169" t="s">
        <v>219</v>
      </c>
      <c r="F363" s="84"/>
      <c r="G363" s="84"/>
      <c r="H363" s="80">
        <v>8069.59</v>
      </c>
    </row>
    <row r="364" spans="2:8" x14ac:dyDescent="0.25">
      <c r="B364" s="29">
        <v>3</v>
      </c>
      <c r="C364" s="29"/>
      <c r="D364" s="29"/>
      <c r="E364" s="37" t="s">
        <v>6</v>
      </c>
      <c r="F364" s="80"/>
      <c r="G364" s="80">
        <f>G365</f>
        <v>8069.59</v>
      </c>
      <c r="H364" s="80">
        <f>H365</f>
        <v>8069.59</v>
      </c>
    </row>
    <row r="365" spans="2:8" x14ac:dyDescent="0.25">
      <c r="B365" s="29"/>
      <c r="C365" s="29">
        <v>32</v>
      </c>
      <c r="D365" s="29"/>
      <c r="E365" s="37" t="s">
        <v>11</v>
      </c>
      <c r="F365" s="80"/>
      <c r="G365" s="80">
        <f>G366</f>
        <v>8069.59</v>
      </c>
      <c r="H365" s="80">
        <f>H366</f>
        <v>8069.59</v>
      </c>
    </row>
    <row r="366" spans="2:8" x14ac:dyDescent="0.25">
      <c r="B366" s="30"/>
      <c r="C366" s="30"/>
      <c r="D366" s="30">
        <v>323</v>
      </c>
      <c r="E366" s="45" t="s">
        <v>13</v>
      </c>
      <c r="F366" s="84"/>
      <c r="G366" s="84">
        <v>8069.59</v>
      </c>
      <c r="H366" s="84">
        <f>F366+G366</f>
        <v>8069.59</v>
      </c>
    </row>
    <row r="367" spans="2:8" ht="25.5" x14ac:dyDescent="0.25">
      <c r="B367" s="48"/>
      <c r="C367" s="48"/>
      <c r="D367" s="48"/>
      <c r="E367" s="130" t="s">
        <v>54</v>
      </c>
      <c r="F367" s="21">
        <f>F369</f>
        <v>475832</v>
      </c>
      <c r="G367" s="21">
        <f t="shared" ref="G367:H367" si="78">G369</f>
        <v>43875.83</v>
      </c>
      <c r="H367" s="21">
        <f t="shared" si="78"/>
        <v>519707.83</v>
      </c>
    </row>
    <row r="368" spans="2:8" ht="25.5" x14ac:dyDescent="0.25">
      <c r="B368" s="48"/>
      <c r="C368" s="48"/>
      <c r="D368" s="48"/>
      <c r="E368" s="130" t="s">
        <v>55</v>
      </c>
      <c r="F368" s="21"/>
      <c r="G368" s="21"/>
      <c r="H368" s="21"/>
    </row>
    <row r="369" spans="2:8" ht="25.5" x14ac:dyDescent="0.25">
      <c r="B369" s="49"/>
      <c r="C369" s="49"/>
      <c r="D369" s="49"/>
      <c r="E369" s="132" t="s">
        <v>119</v>
      </c>
      <c r="F369" s="23">
        <f>F370+F377+F383+F397+F402+F407+F391</f>
        <v>475832</v>
      </c>
      <c r="G369" s="23">
        <f>G370+G377+G383+G397+G402+G407+G391+G412</f>
        <v>43875.83</v>
      </c>
      <c r="H369" s="23">
        <f>H370+H377+H383+H397+H402+H407+H391+H412</f>
        <v>519707.83</v>
      </c>
    </row>
    <row r="370" spans="2:8" x14ac:dyDescent="0.25">
      <c r="B370" s="31"/>
      <c r="C370" s="31"/>
      <c r="D370" s="31"/>
      <c r="E370" s="25" t="s">
        <v>56</v>
      </c>
      <c r="F370" s="26">
        <f>F373</f>
        <v>140000</v>
      </c>
      <c r="G370" s="26">
        <f t="shared" ref="G370:H370" si="79">G373</f>
        <v>0</v>
      </c>
      <c r="H370" s="26">
        <f t="shared" si="79"/>
        <v>140000</v>
      </c>
    </row>
    <row r="371" spans="2:8" x14ac:dyDescent="0.25">
      <c r="B371" s="31"/>
      <c r="C371" s="31"/>
      <c r="D371" s="31"/>
      <c r="E371" s="27" t="s">
        <v>145</v>
      </c>
      <c r="F371" s="95">
        <v>40000</v>
      </c>
      <c r="G371" s="95"/>
      <c r="H371" s="95">
        <v>40000</v>
      </c>
    </row>
    <row r="372" spans="2:8" x14ac:dyDescent="0.25">
      <c r="B372" s="31"/>
      <c r="C372" s="31"/>
      <c r="D372" s="31"/>
      <c r="E372" s="27" t="s">
        <v>215</v>
      </c>
      <c r="F372" s="95">
        <v>100000</v>
      </c>
      <c r="G372" s="95"/>
      <c r="H372" s="95">
        <v>100000</v>
      </c>
    </row>
    <row r="373" spans="2:8" x14ac:dyDescent="0.25">
      <c r="B373" s="29">
        <v>3</v>
      </c>
      <c r="C373" s="29"/>
      <c r="D373" s="29"/>
      <c r="E373" s="29" t="s">
        <v>6</v>
      </c>
      <c r="F373" s="10">
        <f>F374</f>
        <v>140000</v>
      </c>
      <c r="G373" s="10">
        <f t="shared" ref="G373:H373" si="80">G374</f>
        <v>0</v>
      </c>
      <c r="H373" s="10">
        <f t="shared" si="80"/>
        <v>140000</v>
      </c>
    </row>
    <row r="374" spans="2:8" x14ac:dyDescent="0.25">
      <c r="B374" s="29"/>
      <c r="C374" s="29">
        <v>32</v>
      </c>
      <c r="D374" s="29"/>
      <c r="E374" s="29" t="s">
        <v>11</v>
      </c>
      <c r="F374" s="10">
        <f>F375+F376</f>
        <v>140000</v>
      </c>
      <c r="G374" s="10">
        <f t="shared" ref="G374:H374" si="81">G375+G376</f>
        <v>0</v>
      </c>
      <c r="H374" s="10">
        <f t="shared" si="81"/>
        <v>140000</v>
      </c>
    </row>
    <row r="375" spans="2:8" x14ac:dyDescent="0.25">
      <c r="B375" s="30"/>
      <c r="C375" s="30"/>
      <c r="D375" s="30">
        <v>322</v>
      </c>
      <c r="E375" s="30" t="s">
        <v>22</v>
      </c>
      <c r="F375" s="12">
        <v>100000</v>
      </c>
      <c r="G375" s="12"/>
      <c r="H375" s="12">
        <f>F375+G375</f>
        <v>100000</v>
      </c>
    </row>
    <row r="376" spans="2:8" x14ac:dyDescent="0.25">
      <c r="B376" s="30"/>
      <c r="C376" s="30"/>
      <c r="D376" s="30">
        <v>323</v>
      </c>
      <c r="E376" s="30" t="s">
        <v>13</v>
      </c>
      <c r="F376" s="12">
        <v>40000</v>
      </c>
      <c r="G376" s="12"/>
      <c r="H376" s="12">
        <f>F376+G376</f>
        <v>40000</v>
      </c>
    </row>
    <row r="377" spans="2:8" x14ac:dyDescent="0.25">
      <c r="B377" s="31"/>
      <c r="C377" s="31"/>
      <c r="D377" s="31"/>
      <c r="E377" s="25" t="s">
        <v>57</v>
      </c>
      <c r="F377" s="26">
        <f>F379</f>
        <v>180500</v>
      </c>
      <c r="G377" s="26">
        <f t="shared" ref="G377:H377" si="82">G379</f>
        <v>0</v>
      </c>
      <c r="H377" s="26">
        <f t="shared" si="82"/>
        <v>180500</v>
      </c>
    </row>
    <row r="378" spans="2:8" x14ac:dyDescent="0.25">
      <c r="B378" s="31"/>
      <c r="C378" s="31"/>
      <c r="D378" s="31"/>
      <c r="E378" s="27" t="s">
        <v>29</v>
      </c>
      <c r="F378" s="10">
        <v>180500</v>
      </c>
      <c r="G378" s="10"/>
      <c r="H378" s="10">
        <v>180500</v>
      </c>
    </row>
    <row r="379" spans="2:8" x14ac:dyDescent="0.25">
      <c r="B379" s="29">
        <v>3</v>
      </c>
      <c r="C379" s="29"/>
      <c r="D379" s="29"/>
      <c r="E379" s="29" t="s">
        <v>6</v>
      </c>
      <c r="F379" s="10">
        <f>F380</f>
        <v>180500</v>
      </c>
      <c r="G379" s="10">
        <f t="shared" ref="G379:H379" si="83">G380</f>
        <v>0</v>
      </c>
      <c r="H379" s="10">
        <f t="shared" si="83"/>
        <v>180500</v>
      </c>
    </row>
    <row r="380" spans="2:8" x14ac:dyDescent="0.25">
      <c r="B380" s="29"/>
      <c r="C380" s="29">
        <v>32</v>
      </c>
      <c r="D380" s="29"/>
      <c r="E380" s="29" t="s">
        <v>11</v>
      </c>
      <c r="F380" s="10">
        <f>F381+F382</f>
        <v>180500</v>
      </c>
      <c r="G380" s="10">
        <f t="shared" ref="G380:H380" si="84">G381+G382</f>
        <v>0</v>
      </c>
      <c r="H380" s="10">
        <f t="shared" si="84"/>
        <v>180500</v>
      </c>
    </row>
    <row r="381" spans="2:8" x14ac:dyDescent="0.25">
      <c r="B381" s="30"/>
      <c r="C381" s="30"/>
      <c r="D381" s="30">
        <v>323</v>
      </c>
      <c r="E381" s="30" t="s">
        <v>13</v>
      </c>
      <c r="F381" s="12">
        <f>12000+40000+20000+4000+7500+5000+24000+15000+12000</f>
        <v>139500</v>
      </c>
      <c r="G381" s="12"/>
      <c r="H381" s="12">
        <f>F381+G381</f>
        <v>139500</v>
      </c>
    </row>
    <row r="382" spans="2:8" x14ac:dyDescent="0.25">
      <c r="B382" s="30"/>
      <c r="C382" s="30"/>
      <c r="D382" s="30">
        <v>329</v>
      </c>
      <c r="E382" s="154" t="s">
        <v>14</v>
      </c>
      <c r="F382" s="12">
        <v>41000</v>
      </c>
      <c r="G382" s="12"/>
      <c r="H382" s="12">
        <f>F382+G382</f>
        <v>41000</v>
      </c>
    </row>
    <row r="383" spans="2:8" x14ac:dyDescent="0.25">
      <c r="B383" s="31"/>
      <c r="C383" s="31"/>
      <c r="D383" s="31"/>
      <c r="E383" s="25" t="s">
        <v>180</v>
      </c>
      <c r="F383" s="26">
        <f>F385</f>
        <v>20000</v>
      </c>
      <c r="G383" s="26">
        <f>G385+G388</f>
        <v>0</v>
      </c>
      <c r="H383" s="26">
        <f>H385+H388</f>
        <v>20000</v>
      </c>
    </row>
    <row r="384" spans="2:8" x14ac:dyDescent="0.25">
      <c r="B384" s="31"/>
      <c r="C384" s="31"/>
      <c r="D384" s="31"/>
      <c r="E384" s="27" t="s">
        <v>29</v>
      </c>
      <c r="F384" s="10">
        <v>20000</v>
      </c>
      <c r="G384" s="10"/>
      <c r="H384" s="10">
        <v>20000</v>
      </c>
    </row>
    <row r="385" spans="1:8" x14ac:dyDescent="0.25">
      <c r="B385" s="29">
        <v>4</v>
      </c>
      <c r="C385" s="29"/>
      <c r="D385" s="29"/>
      <c r="E385" s="29" t="s">
        <v>135</v>
      </c>
      <c r="F385" s="10">
        <f>F386</f>
        <v>20000</v>
      </c>
      <c r="G385" s="10">
        <f t="shared" ref="G385:H386" si="85">G386</f>
        <v>-20000</v>
      </c>
      <c r="H385" s="10">
        <f t="shared" si="85"/>
        <v>0</v>
      </c>
    </row>
    <row r="386" spans="1:8" x14ac:dyDescent="0.25">
      <c r="B386" s="29"/>
      <c r="C386" s="29">
        <v>42</v>
      </c>
      <c r="D386" s="29"/>
      <c r="E386" s="70" t="s">
        <v>40</v>
      </c>
      <c r="F386" s="10">
        <f>F387</f>
        <v>20000</v>
      </c>
      <c r="G386" s="10">
        <f t="shared" si="85"/>
        <v>-20000</v>
      </c>
      <c r="H386" s="10">
        <f t="shared" si="85"/>
        <v>0</v>
      </c>
    </row>
    <row r="387" spans="1:8" x14ac:dyDescent="0.25">
      <c r="B387" s="30"/>
      <c r="C387" s="30"/>
      <c r="D387" s="30">
        <v>422</v>
      </c>
      <c r="E387" s="30" t="s">
        <v>66</v>
      </c>
      <c r="F387" s="12">
        <v>20000</v>
      </c>
      <c r="G387" s="12">
        <v>-20000</v>
      </c>
      <c r="H387" s="12">
        <f>F387+G387</f>
        <v>0</v>
      </c>
    </row>
    <row r="388" spans="1:8" x14ac:dyDescent="0.25">
      <c r="B388" s="163">
        <v>3</v>
      </c>
      <c r="C388" s="163"/>
      <c r="D388" s="163"/>
      <c r="E388" s="29" t="s">
        <v>6</v>
      </c>
      <c r="F388" s="10"/>
      <c r="G388" s="10">
        <f>G389</f>
        <v>20000</v>
      </c>
      <c r="H388" s="10">
        <f>F388+G388</f>
        <v>20000</v>
      </c>
    </row>
    <row r="389" spans="1:8" ht="26.25" x14ac:dyDescent="0.25">
      <c r="B389" s="94"/>
      <c r="C389" s="163">
        <v>36</v>
      </c>
      <c r="D389" s="94"/>
      <c r="E389" s="37" t="s">
        <v>72</v>
      </c>
      <c r="F389" s="12"/>
      <c r="G389" s="10">
        <f>G390</f>
        <v>20000</v>
      </c>
      <c r="H389" s="10">
        <f>F389+G389</f>
        <v>20000</v>
      </c>
    </row>
    <row r="390" spans="1:8" x14ac:dyDescent="0.25">
      <c r="B390" s="94"/>
      <c r="C390" s="94"/>
      <c r="D390" s="94">
        <v>363</v>
      </c>
      <c r="E390" s="30" t="s">
        <v>33</v>
      </c>
      <c r="F390" s="12"/>
      <c r="G390" s="12">
        <v>20000</v>
      </c>
      <c r="H390" s="12">
        <f>F390+G390</f>
        <v>20000</v>
      </c>
    </row>
    <row r="391" spans="1:8" x14ac:dyDescent="0.25">
      <c r="B391" s="34"/>
      <c r="C391" s="34"/>
      <c r="D391" s="34"/>
      <c r="E391" s="62" t="s">
        <v>181</v>
      </c>
      <c r="F391" s="60">
        <f>F394</f>
        <v>70000</v>
      </c>
      <c r="G391" s="60">
        <f t="shared" ref="G391:H391" si="86">G394</f>
        <v>0</v>
      </c>
      <c r="H391" s="60">
        <f t="shared" si="86"/>
        <v>70000</v>
      </c>
    </row>
    <row r="392" spans="1:8" x14ac:dyDescent="0.25">
      <c r="B392" s="31"/>
      <c r="C392" s="31"/>
      <c r="D392" s="31"/>
      <c r="E392" s="27" t="s">
        <v>145</v>
      </c>
      <c r="F392" s="10">
        <f>F391-F393</f>
        <v>21000</v>
      </c>
      <c r="G392" s="10"/>
      <c r="H392" s="10">
        <f>H391-H393</f>
        <v>21000</v>
      </c>
    </row>
    <row r="393" spans="1:8" x14ac:dyDescent="0.25">
      <c r="B393" s="31"/>
      <c r="C393" s="31"/>
      <c r="D393" s="31"/>
      <c r="E393" s="27" t="s">
        <v>169</v>
      </c>
      <c r="F393" s="10">
        <v>49000</v>
      </c>
      <c r="G393" s="10"/>
      <c r="H393" s="10">
        <v>49000</v>
      </c>
    </row>
    <row r="394" spans="1:8" x14ac:dyDescent="0.25">
      <c r="B394" s="29">
        <v>4</v>
      </c>
      <c r="C394" s="29"/>
      <c r="D394" s="29"/>
      <c r="E394" s="29" t="s">
        <v>135</v>
      </c>
      <c r="F394" s="10">
        <f>F395</f>
        <v>70000</v>
      </c>
      <c r="G394" s="10">
        <f t="shared" ref="G394:H395" si="87">G395</f>
        <v>0</v>
      </c>
      <c r="H394" s="10">
        <f t="shared" si="87"/>
        <v>70000</v>
      </c>
    </row>
    <row r="395" spans="1:8" x14ac:dyDescent="0.25">
      <c r="B395" s="29"/>
      <c r="C395" s="29">
        <v>42</v>
      </c>
      <c r="D395" s="29"/>
      <c r="E395" s="70" t="s">
        <v>40</v>
      </c>
      <c r="F395" s="10">
        <f>F396</f>
        <v>70000</v>
      </c>
      <c r="G395" s="10">
        <f t="shared" si="87"/>
        <v>0</v>
      </c>
      <c r="H395" s="10">
        <f t="shared" si="87"/>
        <v>70000</v>
      </c>
    </row>
    <row r="396" spans="1:8" x14ac:dyDescent="0.25">
      <c r="B396" s="30"/>
      <c r="C396" s="30"/>
      <c r="D396" s="30">
        <v>422</v>
      </c>
      <c r="E396" s="30" t="s">
        <v>66</v>
      </c>
      <c r="F396" s="12">
        <v>70000</v>
      </c>
      <c r="G396" s="12"/>
      <c r="H396" s="12">
        <f>F396+G396</f>
        <v>70000</v>
      </c>
    </row>
    <row r="397" spans="1:8" ht="26.25" x14ac:dyDescent="0.25">
      <c r="A397" s="97"/>
      <c r="B397" s="31"/>
      <c r="C397" s="31"/>
      <c r="D397" s="31"/>
      <c r="E397" s="40" t="s">
        <v>148</v>
      </c>
      <c r="F397" s="26">
        <f>F399</f>
        <v>26332</v>
      </c>
      <c r="G397" s="26">
        <f t="shared" ref="G397:H397" si="88">G399</f>
        <v>6375.83</v>
      </c>
      <c r="H397" s="26">
        <f t="shared" si="88"/>
        <v>32707.83</v>
      </c>
    </row>
    <row r="398" spans="1:8" x14ac:dyDescent="0.25">
      <c r="B398" s="31"/>
      <c r="C398" s="31"/>
      <c r="D398" s="31"/>
      <c r="E398" s="27" t="s">
        <v>29</v>
      </c>
      <c r="F398" s="10">
        <v>26332</v>
      </c>
      <c r="G398" s="10"/>
      <c r="H398" s="10">
        <v>32707.83</v>
      </c>
    </row>
    <row r="399" spans="1:8" x14ac:dyDescent="0.25">
      <c r="B399" s="29">
        <v>4</v>
      </c>
      <c r="C399" s="29"/>
      <c r="D399" s="29"/>
      <c r="E399" s="29" t="s">
        <v>135</v>
      </c>
      <c r="F399" s="10">
        <f>F400</f>
        <v>26332</v>
      </c>
      <c r="G399" s="10">
        <f t="shared" ref="G399:H399" si="89">G400</f>
        <v>6375.83</v>
      </c>
      <c r="H399" s="10">
        <f t="shared" si="89"/>
        <v>32707.83</v>
      </c>
    </row>
    <row r="400" spans="1:8" ht="26.25" x14ac:dyDescent="0.25">
      <c r="B400" s="29"/>
      <c r="C400" s="29">
        <v>42</v>
      </c>
      <c r="D400" s="29"/>
      <c r="E400" s="37" t="s">
        <v>40</v>
      </c>
      <c r="F400" s="10">
        <f>F401</f>
        <v>26332</v>
      </c>
      <c r="G400" s="10">
        <f>G401</f>
        <v>6375.83</v>
      </c>
      <c r="H400" s="10">
        <f>H401</f>
        <v>32707.83</v>
      </c>
    </row>
    <row r="401" spans="2:8" x14ac:dyDescent="0.25">
      <c r="B401" s="30"/>
      <c r="C401" s="30"/>
      <c r="D401" s="30">
        <v>421</v>
      </c>
      <c r="E401" s="30" t="s">
        <v>51</v>
      </c>
      <c r="F401" s="12">
        <f>25648+684</f>
        <v>26332</v>
      </c>
      <c r="G401" s="12">
        <v>6375.83</v>
      </c>
      <c r="H401" s="12">
        <f>F401+G401</f>
        <v>32707.83</v>
      </c>
    </row>
    <row r="402" spans="2:8" ht="26.25" x14ac:dyDescent="0.25">
      <c r="B402" s="31"/>
      <c r="C402" s="31"/>
      <c r="D402" s="31"/>
      <c r="E402" s="40" t="s">
        <v>136</v>
      </c>
      <c r="F402" s="26">
        <f>F404</f>
        <v>24000</v>
      </c>
      <c r="G402" s="26">
        <f t="shared" ref="G402:H402" si="90">G404</f>
        <v>0</v>
      </c>
      <c r="H402" s="26">
        <f t="shared" si="90"/>
        <v>24000</v>
      </c>
    </row>
    <row r="403" spans="2:8" x14ac:dyDescent="0.25">
      <c r="B403" s="31"/>
      <c r="C403" s="31"/>
      <c r="D403" s="31"/>
      <c r="E403" s="27" t="s">
        <v>29</v>
      </c>
      <c r="F403" s="10">
        <v>24000</v>
      </c>
      <c r="G403" s="10"/>
      <c r="H403" s="10">
        <v>24000</v>
      </c>
    </row>
    <row r="404" spans="2:8" x14ac:dyDescent="0.25">
      <c r="B404" s="29">
        <v>3</v>
      </c>
      <c r="C404" s="29"/>
      <c r="D404" s="29"/>
      <c r="E404" s="29" t="s">
        <v>6</v>
      </c>
      <c r="F404" s="10">
        <f>F405</f>
        <v>24000</v>
      </c>
      <c r="G404" s="10">
        <f t="shared" ref="G404:H405" si="91">G405</f>
        <v>0</v>
      </c>
      <c r="H404" s="10">
        <f t="shared" si="91"/>
        <v>24000</v>
      </c>
    </row>
    <row r="405" spans="2:8" x14ac:dyDescent="0.25">
      <c r="B405" s="29"/>
      <c r="C405" s="29">
        <v>32</v>
      </c>
      <c r="D405" s="29"/>
      <c r="E405" s="29" t="s">
        <v>11</v>
      </c>
      <c r="F405" s="10">
        <f>F406</f>
        <v>24000</v>
      </c>
      <c r="G405" s="10">
        <f t="shared" si="91"/>
        <v>0</v>
      </c>
      <c r="H405" s="10">
        <f t="shared" si="91"/>
        <v>24000</v>
      </c>
    </row>
    <row r="406" spans="2:8" x14ac:dyDescent="0.25">
      <c r="B406" s="30"/>
      <c r="C406" s="30"/>
      <c r="D406" s="30">
        <v>323</v>
      </c>
      <c r="E406" s="30" t="s">
        <v>13</v>
      </c>
      <c r="F406" s="12">
        <v>24000</v>
      </c>
      <c r="G406" s="12"/>
      <c r="H406" s="12">
        <f>F406+G406</f>
        <v>24000</v>
      </c>
    </row>
    <row r="407" spans="2:8" ht="26.25" x14ac:dyDescent="0.25">
      <c r="B407" s="31"/>
      <c r="C407" s="31"/>
      <c r="D407" s="31"/>
      <c r="E407" s="40" t="s">
        <v>177</v>
      </c>
      <c r="F407" s="26">
        <f>F409</f>
        <v>15000</v>
      </c>
      <c r="G407" s="26">
        <f t="shared" ref="G407:H407" si="92">G409</f>
        <v>32500</v>
      </c>
      <c r="H407" s="26">
        <f t="shared" si="92"/>
        <v>47500</v>
      </c>
    </row>
    <row r="408" spans="2:8" x14ac:dyDescent="0.25">
      <c r="B408" s="31"/>
      <c r="C408" s="31"/>
      <c r="D408" s="31"/>
      <c r="E408" s="27" t="s">
        <v>29</v>
      </c>
      <c r="F408" s="10">
        <v>15000</v>
      </c>
      <c r="G408" s="10"/>
      <c r="H408" s="10">
        <v>47500</v>
      </c>
    </row>
    <row r="409" spans="2:8" x14ac:dyDescent="0.25">
      <c r="B409" s="29">
        <v>3</v>
      </c>
      <c r="C409" s="29"/>
      <c r="D409" s="29"/>
      <c r="E409" s="29" t="s">
        <v>6</v>
      </c>
      <c r="F409" s="10">
        <f>F410</f>
        <v>15000</v>
      </c>
      <c r="G409" s="10">
        <f t="shared" ref="G409:H410" si="93">G410</f>
        <v>32500</v>
      </c>
      <c r="H409" s="10">
        <f t="shared" si="93"/>
        <v>47500</v>
      </c>
    </row>
    <row r="410" spans="2:8" x14ac:dyDescent="0.25">
      <c r="B410" s="29"/>
      <c r="C410" s="29">
        <v>32</v>
      </c>
      <c r="D410" s="29"/>
      <c r="E410" s="29" t="s">
        <v>11</v>
      </c>
      <c r="F410" s="10">
        <f>F411</f>
        <v>15000</v>
      </c>
      <c r="G410" s="10">
        <f t="shared" si="93"/>
        <v>32500</v>
      </c>
      <c r="H410" s="10">
        <f t="shared" si="93"/>
        <v>47500</v>
      </c>
    </row>
    <row r="411" spans="2:8" x14ac:dyDescent="0.25">
      <c r="B411" s="30"/>
      <c r="C411" s="30"/>
      <c r="D411" s="30">
        <v>323</v>
      </c>
      <c r="E411" s="30" t="s">
        <v>13</v>
      </c>
      <c r="F411" s="12">
        <v>15000</v>
      </c>
      <c r="G411" s="12">
        <f>73000-40500</f>
        <v>32500</v>
      </c>
      <c r="H411" s="12">
        <f>F411+G411</f>
        <v>47500</v>
      </c>
    </row>
    <row r="412" spans="2:8" ht="26.25" x14ac:dyDescent="0.25">
      <c r="B412" s="171"/>
      <c r="C412" s="171"/>
      <c r="D412" s="170"/>
      <c r="E412" s="93" t="s">
        <v>217</v>
      </c>
      <c r="F412" s="159"/>
      <c r="G412" s="114">
        <f>G414</f>
        <v>5000</v>
      </c>
      <c r="H412" s="114">
        <f>F412+G412</f>
        <v>5000</v>
      </c>
    </row>
    <row r="413" spans="2:8" x14ac:dyDescent="0.25">
      <c r="B413" s="173"/>
      <c r="C413" s="173"/>
      <c r="D413" s="172"/>
      <c r="E413" s="169" t="s">
        <v>215</v>
      </c>
      <c r="F413" s="80"/>
      <c r="G413" s="166"/>
      <c r="H413" s="166">
        <v>5000</v>
      </c>
    </row>
    <row r="414" spans="2:8" x14ac:dyDescent="0.25">
      <c r="B414" s="29">
        <v>3</v>
      </c>
      <c r="C414" s="29"/>
      <c r="D414" s="29"/>
      <c r="E414" s="37" t="s">
        <v>6</v>
      </c>
      <c r="F414" s="80"/>
      <c r="G414" s="80">
        <f>G415</f>
        <v>5000</v>
      </c>
      <c r="H414" s="80">
        <f>H415</f>
        <v>5000</v>
      </c>
    </row>
    <row r="415" spans="2:8" x14ac:dyDescent="0.25">
      <c r="B415" s="30"/>
      <c r="C415" s="29">
        <v>32</v>
      </c>
      <c r="D415" s="29"/>
      <c r="E415" s="37" t="s">
        <v>11</v>
      </c>
      <c r="F415" s="80"/>
      <c r="G415" s="80">
        <f>G416</f>
        <v>5000</v>
      </c>
      <c r="H415" s="80">
        <f>H416</f>
        <v>5000</v>
      </c>
    </row>
    <row r="416" spans="2:8" x14ac:dyDescent="0.25">
      <c r="B416" s="30"/>
      <c r="C416" s="30"/>
      <c r="D416" s="30">
        <v>323</v>
      </c>
      <c r="E416" s="45" t="s">
        <v>216</v>
      </c>
      <c r="F416" s="84"/>
      <c r="G416" s="84">
        <v>5000</v>
      </c>
      <c r="H416" s="84">
        <f>F416+G416</f>
        <v>5000</v>
      </c>
    </row>
    <row r="417" spans="2:8" ht="25.5" x14ac:dyDescent="0.25">
      <c r="B417" s="48"/>
      <c r="C417" s="48"/>
      <c r="D417" s="48"/>
      <c r="E417" s="130" t="s">
        <v>201</v>
      </c>
      <c r="F417" s="21">
        <f>F419</f>
        <v>325201</v>
      </c>
      <c r="G417" s="21">
        <f t="shared" ref="G417:H417" si="94">G419</f>
        <v>5000</v>
      </c>
      <c r="H417" s="21">
        <f t="shared" si="94"/>
        <v>330201</v>
      </c>
    </row>
    <row r="418" spans="2:8" ht="25.5" x14ac:dyDescent="0.25">
      <c r="B418" s="48"/>
      <c r="C418" s="48"/>
      <c r="D418" s="48"/>
      <c r="E418" s="130" t="s">
        <v>58</v>
      </c>
      <c r="F418" s="21"/>
      <c r="G418" s="21"/>
      <c r="H418" s="21"/>
    </row>
    <row r="419" spans="2:8" ht="38.25" x14ac:dyDescent="0.25">
      <c r="B419" s="49"/>
      <c r="C419" s="49"/>
      <c r="D419" s="49"/>
      <c r="E419" s="132" t="s">
        <v>59</v>
      </c>
      <c r="F419" s="23">
        <f>F420+F425+F435+F430+F441</f>
        <v>325201</v>
      </c>
      <c r="G419" s="23">
        <f t="shared" ref="G419:H419" si="95">G420+G425+G435+G430+G441</f>
        <v>5000</v>
      </c>
      <c r="H419" s="23">
        <f t="shared" si="95"/>
        <v>330201</v>
      </c>
    </row>
    <row r="420" spans="2:8" x14ac:dyDescent="0.25">
      <c r="B420" s="31"/>
      <c r="C420" s="31"/>
      <c r="D420" s="31"/>
      <c r="E420" s="40" t="s">
        <v>60</v>
      </c>
      <c r="F420" s="26">
        <f>F422</f>
        <v>110000</v>
      </c>
      <c r="G420" s="26">
        <f t="shared" ref="G420:H420" si="96">G422</f>
        <v>0</v>
      </c>
      <c r="H420" s="26">
        <f t="shared" si="96"/>
        <v>110000</v>
      </c>
    </row>
    <row r="421" spans="2:8" x14ac:dyDescent="0.25">
      <c r="B421" s="31"/>
      <c r="C421" s="31"/>
      <c r="D421" s="31"/>
      <c r="E421" s="27" t="s">
        <v>29</v>
      </c>
      <c r="F421" s="10">
        <v>110000</v>
      </c>
      <c r="G421" s="10"/>
      <c r="H421" s="10">
        <v>110000</v>
      </c>
    </row>
    <row r="422" spans="2:8" x14ac:dyDescent="0.25">
      <c r="B422" s="29">
        <v>3</v>
      </c>
      <c r="C422" s="29"/>
      <c r="D422" s="29"/>
      <c r="E422" s="29" t="s">
        <v>6</v>
      </c>
      <c r="F422" s="10">
        <f>F423</f>
        <v>110000</v>
      </c>
      <c r="G422" s="10">
        <f t="shared" ref="G422:H423" si="97">G423</f>
        <v>0</v>
      </c>
      <c r="H422" s="10">
        <f t="shared" si="97"/>
        <v>110000</v>
      </c>
    </row>
    <row r="423" spans="2:8" x14ac:dyDescent="0.25">
      <c r="B423" s="29"/>
      <c r="C423" s="29">
        <v>38</v>
      </c>
      <c r="D423" s="29"/>
      <c r="E423" s="29" t="s">
        <v>15</v>
      </c>
      <c r="F423" s="10">
        <f>F424</f>
        <v>110000</v>
      </c>
      <c r="G423" s="10">
        <f t="shared" si="97"/>
        <v>0</v>
      </c>
      <c r="H423" s="10">
        <f t="shared" si="97"/>
        <v>110000</v>
      </c>
    </row>
    <row r="424" spans="2:8" x14ac:dyDescent="0.25">
      <c r="B424" s="30"/>
      <c r="C424" s="30"/>
      <c r="D424" s="30">
        <v>381</v>
      </c>
      <c r="E424" s="30" t="s">
        <v>30</v>
      </c>
      <c r="F424" s="12">
        <f>55000+25000+30000</f>
        <v>110000</v>
      </c>
      <c r="G424" s="12"/>
      <c r="H424" s="12">
        <f>F424+G424</f>
        <v>110000</v>
      </c>
    </row>
    <row r="425" spans="2:8" x14ac:dyDescent="0.25">
      <c r="B425" s="31"/>
      <c r="C425" s="31"/>
      <c r="D425" s="31"/>
      <c r="E425" s="40" t="s">
        <v>120</v>
      </c>
      <c r="F425" s="26">
        <f>F427</f>
        <v>29000</v>
      </c>
      <c r="G425" s="26">
        <f t="shared" ref="G425:H425" si="98">G427</f>
        <v>0</v>
      </c>
      <c r="H425" s="26">
        <f t="shared" si="98"/>
        <v>29000</v>
      </c>
    </row>
    <row r="426" spans="2:8" x14ac:dyDescent="0.25">
      <c r="B426" s="31"/>
      <c r="C426" s="31"/>
      <c r="D426" s="31"/>
      <c r="E426" s="27" t="s">
        <v>29</v>
      </c>
      <c r="F426" s="10">
        <v>29000</v>
      </c>
      <c r="G426" s="10"/>
      <c r="H426" s="10">
        <v>29000</v>
      </c>
    </row>
    <row r="427" spans="2:8" x14ac:dyDescent="0.25">
      <c r="B427" s="29">
        <v>3</v>
      </c>
      <c r="C427" s="29"/>
      <c r="D427" s="29"/>
      <c r="E427" s="29" t="s">
        <v>6</v>
      </c>
      <c r="F427" s="10">
        <f>F428</f>
        <v>29000</v>
      </c>
      <c r="G427" s="10">
        <f t="shared" ref="G427:H428" si="99">G428</f>
        <v>0</v>
      </c>
      <c r="H427" s="10">
        <f t="shared" si="99"/>
        <v>29000</v>
      </c>
    </row>
    <row r="428" spans="2:8" x14ac:dyDescent="0.25">
      <c r="B428" s="29"/>
      <c r="C428" s="29">
        <v>38</v>
      </c>
      <c r="D428" s="29"/>
      <c r="E428" s="29" t="s">
        <v>15</v>
      </c>
      <c r="F428" s="10">
        <f>F429</f>
        <v>29000</v>
      </c>
      <c r="G428" s="10">
        <f t="shared" si="99"/>
        <v>0</v>
      </c>
      <c r="H428" s="10">
        <f t="shared" si="99"/>
        <v>29000</v>
      </c>
    </row>
    <row r="429" spans="2:8" x14ac:dyDescent="0.25">
      <c r="B429" s="30"/>
      <c r="C429" s="30"/>
      <c r="D429" s="30">
        <v>381</v>
      </c>
      <c r="E429" s="30" t="s">
        <v>30</v>
      </c>
      <c r="F429" s="12">
        <f>20000+15000+5000-11000</f>
        <v>29000</v>
      </c>
      <c r="G429" s="12"/>
      <c r="H429" s="12">
        <f>F429+G429</f>
        <v>29000</v>
      </c>
    </row>
    <row r="430" spans="2:8" x14ac:dyDescent="0.25">
      <c r="B430" s="31"/>
      <c r="C430" s="31"/>
      <c r="D430" s="31"/>
      <c r="E430" s="62" t="s">
        <v>121</v>
      </c>
      <c r="F430" s="60">
        <f>F432</f>
        <v>7000</v>
      </c>
      <c r="G430" s="60">
        <f t="shared" ref="G430:H430" si="100">G432</f>
        <v>0</v>
      </c>
      <c r="H430" s="60">
        <f t="shared" si="100"/>
        <v>7000</v>
      </c>
    </row>
    <row r="431" spans="2:8" x14ac:dyDescent="0.25">
      <c r="B431" s="34"/>
      <c r="C431" s="34"/>
      <c r="D431" s="34"/>
      <c r="E431" s="27" t="s">
        <v>29</v>
      </c>
      <c r="F431" s="10">
        <v>7000</v>
      </c>
      <c r="G431" s="10"/>
      <c r="H431" s="10">
        <v>7000</v>
      </c>
    </row>
    <row r="432" spans="2:8" x14ac:dyDescent="0.25">
      <c r="B432" s="29">
        <v>3</v>
      </c>
      <c r="C432" s="29"/>
      <c r="D432" s="29"/>
      <c r="E432" s="29" t="s">
        <v>6</v>
      </c>
      <c r="F432" s="10">
        <f t="shared" ref="F432:H433" si="101">F433</f>
        <v>7000</v>
      </c>
      <c r="G432" s="10">
        <f t="shared" si="101"/>
        <v>0</v>
      </c>
      <c r="H432" s="10">
        <f t="shared" si="101"/>
        <v>7000</v>
      </c>
    </row>
    <row r="433" spans="1:8" x14ac:dyDescent="0.25">
      <c r="B433" s="30"/>
      <c r="C433" s="29">
        <v>32</v>
      </c>
      <c r="D433" s="30"/>
      <c r="E433" s="30" t="s">
        <v>11</v>
      </c>
      <c r="F433" s="10">
        <f t="shared" si="101"/>
        <v>7000</v>
      </c>
      <c r="G433" s="10">
        <f t="shared" si="101"/>
        <v>0</v>
      </c>
      <c r="H433" s="10">
        <f t="shared" si="101"/>
        <v>7000</v>
      </c>
    </row>
    <row r="434" spans="1:8" x14ac:dyDescent="0.25">
      <c r="B434" s="30"/>
      <c r="C434" s="30"/>
      <c r="D434" s="30">
        <v>323</v>
      </c>
      <c r="E434" s="30" t="s">
        <v>13</v>
      </c>
      <c r="F434" s="12">
        <v>7000</v>
      </c>
      <c r="G434" s="12"/>
      <c r="H434" s="12">
        <f>F434+G434</f>
        <v>7000</v>
      </c>
    </row>
    <row r="435" spans="1:8" x14ac:dyDescent="0.25">
      <c r="B435" s="31"/>
      <c r="C435" s="31"/>
      <c r="D435" s="31"/>
      <c r="E435" s="40" t="s">
        <v>61</v>
      </c>
      <c r="F435" s="26">
        <f>F437</f>
        <v>35000</v>
      </c>
      <c r="G435" s="26">
        <f>G437</f>
        <v>0</v>
      </c>
      <c r="H435" s="26">
        <f t="shared" ref="H435" si="102">H437</f>
        <v>35000</v>
      </c>
    </row>
    <row r="436" spans="1:8" x14ac:dyDescent="0.25">
      <c r="B436" s="31"/>
      <c r="C436" s="31"/>
      <c r="D436" s="31"/>
      <c r="E436" s="27" t="s">
        <v>29</v>
      </c>
      <c r="F436" s="10">
        <v>35000</v>
      </c>
      <c r="G436" s="10"/>
      <c r="H436" s="10">
        <v>35000</v>
      </c>
    </row>
    <row r="437" spans="1:8" x14ac:dyDescent="0.25">
      <c r="B437" s="29">
        <v>3</v>
      </c>
      <c r="C437" s="29"/>
      <c r="D437" s="29"/>
      <c r="E437" s="29" t="s">
        <v>6</v>
      </c>
      <c r="F437" s="10">
        <f>F438</f>
        <v>35000</v>
      </c>
      <c r="G437" s="10">
        <f t="shared" ref="G437:H437" si="103">G438</f>
        <v>0</v>
      </c>
      <c r="H437" s="10">
        <f t="shared" si="103"/>
        <v>35000</v>
      </c>
    </row>
    <row r="438" spans="1:8" x14ac:dyDescent="0.25">
      <c r="B438" s="29"/>
      <c r="C438" s="29">
        <v>38</v>
      </c>
      <c r="D438" s="29"/>
      <c r="E438" s="29" t="s">
        <v>15</v>
      </c>
      <c r="F438" s="10">
        <f>F439</f>
        <v>35000</v>
      </c>
      <c r="G438" s="10">
        <f>G439+G440</f>
        <v>0</v>
      </c>
      <c r="H438" s="10">
        <f>H439+H440</f>
        <v>35000</v>
      </c>
    </row>
    <row r="439" spans="1:8" x14ac:dyDescent="0.25">
      <c r="B439" s="30"/>
      <c r="C439" s="30"/>
      <c r="D439" s="30">
        <v>381</v>
      </c>
      <c r="E439" s="30" t="s">
        <v>30</v>
      </c>
      <c r="F439" s="12">
        <f>10000+3000+20000+2000</f>
        <v>35000</v>
      </c>
      <c r="G439" s="12">
        <v>-22000</v>
      </c>
      <c r="H439" s="12">
        <f>F439+G439</f>
        <v>13000</v>
      </c>
    </row>
    <row r="440" spans="1:8" x14ac:dyDescent="0.25">
      <c r="B440" s="30"/>
      <c r="C440" s="30"/>
      <c r="D440" s="30">
        <v>382</v>
      </c>
      <c r="E440" s="30" t="s">
        <v>224</v>
      </c>
      <c r="F440" s="12"/>
      <c r="G440" s="12">
        <v>22000</v>
      </c>
      <c r="H440" s="12">
        <f>F440+G440</f>
        <v>22000</v>
      </c>
    </row>
    <row r="441" spans="1:8" x14ac:dyDescent="0.25">
      <c r="B441" s="31"/>
      <c r="C441" s="31"/>
      <c r="D441" s="31"/>
      <c r="E441" s="90" t="s">
        <v>146</v>
      </c>
      <c r="F441" s="60">
        <f>F447+F444</f>
        <v>144201</v>
      </c>
      <c r="G441" s="60">
        <f t="shared" ref="G441:H441" si="104">G447+G444</f>
        <v>5000</v>
      </c>
      <c r="H441" s="60">
        <f t="shared" si="104"/>
        <v>149201</v>
      </c>
    </row>
    <row r="442" spans="1:8" x14ac:dyDescent="0.25">
      <c r="B442" s="34"/>
      <c r="C442" s="34"/>
      <c r="D442" s="34"/>
      <c r="E442" s="105" t="s">
        <v>145</v>
      </c>
      <c r="F442" s="10">
        <f>F441-F443</f>
        <v>4000</v>
      </c>
      <c r="G442" s="10"/>
      <c r="H442" s="10">
        <f>H441-H443</f>
        <v>9000</v>
      </c>
    </row>
    <row r="443" spans="1:8" x14ac:dyDescent="0.25">
      <c r="B443" s="34"/>
      <c r="C443" s="34"/>
      <c r="D443" s="34"/>
      <c r="E443" s="105" t="s">
        <v>169</v>
      </c>
      <c r="F443" s="10">
        <v>140201</v>
      </c>
      <c r="G443" s="10"/>
      <c r="H443" s="10">
        <v>140201</v>
      </c>
    </row>
    <row r="444" spans="1:8" x14ac:dyDescent="0.25">
      <c r="A444" s="104"/>
      <c r="B444" s="29">
        <v>3</v>
      </c>
      <c r="C444" s="29"/>
      <c r="D444" s="29"/>
      <c r="E444" s="29" t="s">
        <v>6</v>
      </c>
      <c r="F444" s="10">
        <f>F445</f>
        <v>5400</v>
      </c>
      <c r="G444" s="10">
        <f t="shared" ref="G444:G445" si="105">G445</f>
        <v>5000</v>
      </c>
      <c r="H444" s="10">
        <f>H445</f>
        <v>10400</v>
      </c>
    </row>
    <row r="445" spans="1:8" x14ac:dyDescent="0.25">
      <c r="A445" s="104"/>
      <c r="B445" s="29"/>
      <c r="C445" s="29">
        <v>32</v>
      </c>
      <c r="D445" s="29"/>
      <c r="E445" s="29" t="s">
        <v>11</v>
      </c>
      <c r="F445" s="10">
        <f>F446</f>
        <v>5400</v>
      </c>
      <c r="G445" s="10">
        <f t="shared" si="105"/>
        <v>5000</v>
      </c>
      <c r="H445" s="10">
        <f t="shared" ref="H445" si="106">H446</f>
        <v>10400</v>
      </c>
    </row>
    <row r="446" spans="1:8" x14ac:dyDescent="0.25">
      <c r="B446" s="30"/>
      <c r="C446" s="30"/>
      <c r="D446" s="30">
        <v>323</v>
      </c>
      <c r="E446" s="30" t="s">
        <v>13</v>
      </c>
      <c r="F446" s="12">
        <f>4000+1400</f>
        <v>5400</v>
      </c>
      <c r="G446" s="12">
        <f>3000+2000</f>
        <v>5000</v>
      </c>
      <c r="H446" s="12">
        <f>F446+G446</f>
        <v>10400</v>
      </c>
    </row>
    <row r="447" spans="1:8" ht="26.25" x14ac:dyDescent="0.25">
      <c r="B447" s="29">
        <v>4</v>
      </c>
      <c r="C447" s="29"/>
      <c r="D447" s="29"/>
      <c r="E447" s="37" t="s">
        <v>221</v>
      </c>
      <c r="F447" s="10">
        <f t="shared" ref="F447:H448" si="107">F448</f>
        <v>138801</v>
      </c>
      <c r="G447" s="10">
        <f t="shared" si="107"/>
        <v>0</v>
      </c>
      <c r="H447" s="10">
        <f t="shared" si="107"/>
        <v>138801</v>
      </c>
    </row>
    <row r="448" spans="1:8" ht="26.25" x14ac:dyDescent="0.25">
      <c r="B448" s="30"/>
      <c r="C448" s="29">
        <v>42</v>
      </c>
      <c r="D448" s="30"/>
      <c r="E448" s="37" t="s">
        <v>40</v>
      </c>
      <c r="F448" s="10">
        <f t="shared" si="107"/>
        <v>138801</v>
      </c>
      <c r="G448" s="10">
        <f t="shared" si="107"/>
        <v>0</v>
      </c>
      <c r="H448" s="10">
        <f t="shared" si="107"/>
        <v>138801</v>
      </c>
    </row>
    <row r="449" spans="2:8" x14ac:dyDescent="0.25">
      <c r="B449" s="30"/>
      <c r="C449" s="30"/>
      <c r="D449" s="30">
        <v>422</v>
      </c>
      <c r="E449" s="30" t="s">
        <v>66</v>
      </c>
      <c r="F449" s="12">
        <v>138801</v>
      </c>
      <c r="G449" s="12"/>
      <c r="H449" s="12">
        <f>F449+G449</f>
        <v>138801</v>
      </c>
    </row>
    <row r="450" spans="2:8" ht="25.5" x14ac:dyDescent="0.25">
      <c r="B450" s="48"/>
      <c r="C450" s="48"/>
      <c r="D450" s="48"/>
      <c r="E450" s="130" t="s">
        <v>62</v>
      </c>
      <c r="F450" s="21">
        <f>F452</f>
        <v>1132150.6400000001</v>
      </c>
      <c r="G450" s="21">
        <f t="shared" ref="G450:H450" si="108">G452</f>
        <v>30325</v>
      </c>
      <c r="H450" s="21">
        <f t="shared" si="108"/>
        <v>1162475.6400000001</v>
      </c>
    </row>
    <row r="451" spans="2:8" ht="25.5" x14ac:dyDescent="0.25">
      <c r="B451" s="48"/>
      <c r="C451" s="48"/>
      <c r="D451" s="48"/>
      <c r="E451" s="130" t="s">
        <v>63</v>
      </c>
      <c r="F451" s="21"/>
      <c r="G451" s="21"/>
      <c r="H451" s="21"/>
    </row>
    <row r="452" spans="2:8" x14ac:dyDescent="0.25">
      <c r="B452" s="49"/>
      <c r="C452" s="49"/>
      <c r="D452" s="49"/>
      <c r="E452" s="133" t="s">
        <v>64</v>
      </c>
      <c r="F452" s="23">
        <f>F453+F465+F473+F480</f>
        <v>1132150.6400000001</v>
      </c>
      <c r="G452" s="23">
        <f t="shared" ref="G452:H452" si="109">G453+G465+G473+G480</f>
        <v>30325</v>
      </c>
      <c r="H452" s="23">
        <f t="shared" si="109"/>
        <v>1162475.6400000001</v>
      </c>
    </row>
    <row r="453" spans="2:8" ht="26.25" x14ac:dyDescent="0.25">
      <c r="B453" s="41"/>
      <c r="C453" s="41"/>
      <c r="D453" s="41"/>
      <c r="E453" s="40" t="s">
        <v>122</v>
      </c>
      <c r="F453" s="63">
        <f>F457</f>
        <v>684612.4</v>
      </c>
      <c r="G453" s="63">
        <f t="shared" ref="G453:H453" si="110">G457</f>
        <v>30325</v>
      </c>
      <c r="H453" s="63">
        <f t="shared" si="110"/>
        <v>714937.4</v>
      </c>
    </row>
    <row r="454" spans="2:8" ht="23.25" x14ac:dyDescent="0.25">
      <c r="B454" s="41"/>
      <c r="C454" s="41"/>
      <c r="D454" s="41"/>
      <c r="E454" s="64" t="s">
        <v>65</v>
      </c>
      <c r="F454" s="10"/>
      <c r="G454" s="10"/>
      <c r="H454" s="10"/>
    </row>
    <row r="455" spans="2:8" x14ac:dyDescent="0.25">
      <c r="B455" s="41"/>
      <c r="C455" s="41"/>
      <c r="D455" s="41"/>
      <c r="E455" s="27" t="s">
        <v>145</v>
      </c>
      <c r="F455" s="10">
        <v>684612.4</v>
      </c>
      <c r="G455" s="10"/>
      <c r="H455" s="10">
        <f>H453-H456</f>
        <v>533437.4</v>
      </c>
    </row>
    <row r="456" spans="2:8" x14ac:dyDescent="0.25">
      <c r="B456" s="41"/>
      <c r="C456" s="41"/>
      <c r="D456" s="41"/>
      <c r="E456" s="27" t="s">
        <v>169</v>
      </c>
      <c r="F456" s="10"/>
      <c r="G456" s="10"/>
      <c r="H456" s="10">
        <v>181500</v>
      </c>
    </row>
    <row r="457" spans="2:8" x14ac:dyDescent="0.25">
      <c r="B457" s="9">
        <v>3</v>
      </c>
      <c r="C457" s="9"/>
      <c r="D457" s="9"/>
      <c r="E457" s="9" t="s">
        <v>6</v>
      </c>
      <c r="F457" s="10">
        <f>F458+F462</f>
        <v>684612.4</v>
      </c>
      <c r="G457" s="10">
        <f t="shared" ref="G457:H457" si="111">G458+G462</f>
        <v>30325</v>
      </c>
      <c r="H457" s="10">
        <f t="shared" si="111"/>
        <v>714937.4</v>
      </c>
    </row>
    <row r="458" spans="2:8" x14ac:dyDescent="0.25">
      <c r="B458" s="9"/>
      <c r="C458" s="9">
        <v>31</v>
      </c>
      <c r="D458" s="9"/>
      <c r="E458" s="9" t="s">
        <v>7</v>
      </c>
      <c r="F458" s="10">
        <f>F459+F460+F461</f>
        <v>646586</v>
      </c>
      <c r="G458" s="10">
        <f t="shared" ref="G458:H458" si="112">G459+G460+G461</f>
        <v>5375</v>
      </c>
      <c r="H458" s="10">
        <f t="shared" si="112"/>
        <v>651961</v>
      </c>
    </row>
    <row r="459" spans="2:8" x14ac:dyDescent="0.25">
      <c r="B459" s="11"/>
      <c r="C459" s="11"/>
      <c r="D459" s="11">
        <v>311</v>
      </c>
      <c r="E459" s="11" t="s">
        <v>21</v>
      </c>
      <c r="F459" s="12">
        <v>535910</v>
      </c>
      <c r="G459" s="12">
        <v>3110</v>
      </c>
      <c r="H459" s="12">
        <f>F459+G459</f>
        <v>539020</v>
      </c>
    </row>
    <row r="460" spans="2:8" x14ac:dyDescent="0.25">
      <c r="B460" s="11"/>
      <c r="C460" s="11"/>
      <c r="D460" s="11">
        <v>312</v>
      </c>
      <c r="E460" s="11" t="s">
        <v>9</v>
      </c>
      <c r="F460" s="12">
        <f>6000+8750+7500</f>
        <v>22250</v>
      </c>
      <c r="G460" s="12">
        <v>1750</v>
      </c>
      <c r="H460" s="12">
        <f t="shared" ref="H460:H461" si="113">F460+G460</f>
        <v>24000</v>
      </c>
    </row>
    <row r="461" spans="2:8" x14ac:dyDescent="0.25">
      <c r="B461" s="11"/>
      <c r="C461" s="11"/>
      <c r="D461" s="11">
        <v>313</v>
      </c>
      <c r="E461" s="11" t="s">
        <v>10</v>
      </c>
      <c r="F461" s="12">
        <v>88426</v>
      </c>
      <c r="G461" s="12">
        <v>515</v>
      </c>
      <c r="H461" s="12">
        <f t="shared" si="113"/>
        <v>88941</v>
      </c>
    </row>
    <row r="462" spans="2:8" x14ac:dyDescent="0.25">
      <c r="B462" s="11"/>
      <c r="C462" s="9">
        <v>32</v>
      </c>
      <c r="D462" s="11"/>
      <c r="E462" s="9" t="s">
        <v>11</v>
      </c>
      <c r="F462" s="10">
        <f>F463+F464</f>
        <v>38026.400000000001</v>
      </c>
      <c r="G462" s="10">
        <f t="shared" ref="G462:H462" si="114">G463+G464</f>
        <v>24950</v>
      </c>
      <c r="H462" s="10">
        <f t="shared" si="114"/>
        <v>62976.4</v>
      </c>
    </row>
    <row r="463" spans="2:8" x14ac:dyDescent="0.25">
      <c r="B463" s="9"/>
      <c r="C463" s="9"/>
      <c r="D463" s="11">
        <v>322</v>
      </c>
      <c r="E463" s="11" t="s">
        <v>22</v>
      </c>
      <c r="F463" s="12">
        <v>18026.400000000001</v>
      </c>
      <c r="G463" s="10"/>
      <c r="H463" s="12">
        <f>F463+G463</f>
        <v>18026.400000000001</v>
      </c>
    </row>
    <row r="464" spans="2:8" x14ac:dyDescent="0.25">
      <c r="B464" s="11"/>
      <c r="C464" s="11"/>
      <c r="D464" s="11">
        <v>323</v>
      </c>
      <c r="E464" s="11" t="s">
        <v>13</v>
      </c>
      <c r="F464" s="12">
        <v>20000</v>
      </c>
      <c r="G464" s="12">
        <v>24950</v>
      </c>
      <c r="H464" s="12">
        <f>F464+G464</f>
        <v>44950</v>
      </c>
    </row>
    <row r="465" spans="2:8" ht="26.25" x14ac:dyDescent="0.25">
      <c r="B465" s="31"/>
      <c r="C465" s="31"/>
      <c r="D465" s="31"/>
      <c r="E465" s="40" t="s">
        <v>123</v>
      </c>
      <c r="F465" s="26">
        <f>F467+F470</f>
        <v>347538.24</v>
      </c>
      <c r="G465" s="26">
        <f>G467+G470</f>
        <v>0</v>
      </c>
      <c r="H465" s="26">
        <f>H467+H470</f>
        <v>347538.24</v>
      </c>
    </row>
    <row r="466" spans="2:8" x14ac:dyDescent="0.25">
      <c r="B466" s="31"/>
      <c r="C466" s="31"/>
      <c r="D466" s="31"/>
      <c r="E466" s="27" t="s">
        <v>145</v>
      </c>
      <c r="F466" s="10">
        <v>347538.24</v>
      </c>
      <c r="G466" s="10"/>
      <c r="H466" s="10">
        <v>347538.24</v>
      </c>
    </row>
    <row r="467" spans="2:8" x14ac:dyDescent="0.25">
      <c r="B467" s="29">
        <v>3</v>
      </c>
      <c r="C467" s="29"/>
      <c r="D467" s="29"/>
      <c r="E467" s="37" t="s">
        <v>6</v>
      </c>
      <c r="F467" s="10">
        <f>F468</f>
        <v>47538.239999999998</v>
      </c>
      <c r="G467" s="10">
        <f t="shared" ref="G467:H468" si="115">G468</f>
        <v>0</v>
      </c>
      <c r="H467" s="10">
        <f t="shared" si="115"/>
        <v>47538.239999999998</v>
      </c>
    </row>
    <row r="468" spans="2:8" x14ac:dyDescent="0.25">
      <c r="B468" s="29"/>
      <c r="C468" s="29">
        <v>34</v>
      </c>
      <c r="D468" s="29"/>
      <c r="E468" s="37" t="s">
        <v>23</v>
      </c>
      <c r="F468" s="10">
        <f>F469</f>
        <v>47538.239999999998</v>
      </c>
      <c r="G468" s="10">
        <f t="shared" si="115"/>
        <v>0</v>
      </c>
      <c r="H468" s="10">
        <f t="shared" si="115"/>
        <v>47538.239999999998</v>
      </c>
    </row>
    <row r="469" spans="2:8" x14ac:dyDescent="0.25">
      <c r="B469" s="30"/>
      <c r="C469" s="30"/>
      <c r="D469" s="30">
        <v>342</v>
      </c>
      <c r="E469" s="45" t="s">
        <v>67</v>
      </c>
      <c r="F469" s="12">
        <v>47538.239999999998</v>
      </c>
      <c r="G469" s="12"/>
      <c r="H469" s="12">
        <f>F469+G469</f>
        <v>47538.239999999998</v>
      </c>
    </row>
    <row r="470" spans="2:8" ht="26.25" x14ac:dyDescent="0.25">
      <c r="B470" s="29">
        <v>5</v>
      </c>
      <c r="C470" s="29"/>
      <c r="D470" s="29"/>
      <c r="E470" s="37" t="s">
        <v>68</v>
      </c>
      <c r="F470" s="86">
        <f>F471</f>
        <v>300000</v>
      </c>
      <c r="G470" s="86">
        <f t="shared" ref="G470:H471" si="116">G471</f>
        <v>0</v>
      </c>
      <c r="H470" s="86">
        <f t="shared" si="116"/>
        <v>300000</v>
      </c>
    </row>
    <row r="471" spans="2:8" ht="26.25" x14ac:dyDescent="0.25">
      <c r="B471" s="29"/>
      <c r="C471" s="29">
        <v>54</v>
      </c>
      <c r="D471" s="29"/>
      <c r="E471" s="37" t="s">
        <v>69</v>
      </c>
      <c r="F471" s="86">
        <f>F472</f>
        <v>300000</v>
      </c>
      <c r="G471" s="86">
        <f t="shared" si="116"/>
        <v>0</v>
      </c>
      <c r="H471" s="86">
        <f t="shared" si="116"/>
        <v>300000</v>
      </c>
    </row>
    <row r="472" spans="2:8" ht="39" x14ac:dyDescent="0.25">
      <c r="B472" s="30"/>
      <c r="C472" s="30"/>
      <c r="D472" s="30">
        <v>542</v>
      </c>
      <c r="E472" s="45" t="s">
        <v>70</v>
      </c>
      <c r="F472" s="55">
        <v>300000</v>
      </c>
      <c r="G472" s="55"/>
      <c r="H472" s="55">
        <f>F472+G472</f>
        <v>300000</v>
      </c>
    </row>
    <row r="473" spans="2:8" x14ac:dyDescent="0.25">
      <c r="B473" s="31"/>
      <c r="C473" s="31"/>
      <c r="D473" s="31"/>
      <c r="E473" s="25" t="s">
        <v>71</v>
      </c>
      <c r="F473" s="26">
        <f>F475</f>
        <v>46000</v>
      </c>
      <c r="G473" s="26">
        <f t="shared" ref="G473:H473" si="117">G475</f>
        <v>0</v>
      </c>
      <c r="H473" s="26">
        <f t="shared" si="117"/>
        <v>46000</v>
      </c>
    </row>
    <row r="474" spans="2:8" x14ac:dyDescent="0.25">
      <c r="B474" s="31"/>
      <c r="C474" s="31"/>
      <c r="D474" s="31"/>
      <c r="E474" s="27" t="s">
        <v>29</v>
      </c>
      <c r="F474" s="10">
        <v>46000</v>
      </c>
      <c r="G474" s="10"/>
      <c r="H474" s="123">
        <v>46000</v>
      </c>
    </row>
    <row r="475" spans="2:8" x14ac:dyDescent="0.25">
      <c r="B475" s="29">
        <v>3</v>
      </c>
      <c r="C475" s="29"/>
      <c r="D475" s="29"/>
      <c r="E475" s="29" t="s">
        <v>6</v>
      </c>
      <c r="F475" s="10">
        <f>F476+F478</f>
        <v>46000</v>
      </c>
      <c r="G475" s="10">
        <f t="shared" ref="G475:H475" si="118">G476+G478</f>
        <v>0</v>
      </c>
      <c r="H475" s="10">
        <f t="shared" si="118"/>
        <v>46000</v>
      </c>
    </row>
    <row r="476" spans="2:8" ht="26.25" x14ac:dyDescent="0.25">
      <c r="B476" s="29"/>
      <c r="C476" s="29">
        <v>36</v>
      </c>
      <c r="D476" s="29"/>
      <c r="E476" s="37" t="s">
        <v>72</v>
      </c>
      <c r="F476" s="10">
        <f>F477</f>
        <v>9000</v>
      </c>
      <c r="G476" s="10">
        <f t="shared" ref="G476:H476" si="119">G477</f>
        <v>0</v>
      </c>
      <c r="H476" s="10">
        <f t="shared" si="119"/>
        <v>9000</v>
      </c>
    </row>
    <row r="477" spans="2:8" x14ac:dyDescent="0.25">
      <c r="B477" s="30"/>
      <c r="C477" s="30"/>
      <c r="D477" s="30">
        <v>363</v>
      </c>
      <c r="E477" s="30" t="s">
        <v>124</v>
      </c>
      <c r="F477" s="12">
        <f>1000+8000</f>
        <v>9000</v>
      </c>
      <c r="G477" s="12"/>
      <c r="H477" s="12">
        <f>F477+G477</f>
        <v>9000</v>
      </c>
    </row>
    <row r="478" spans="2:8" x14ac:dyDescent="0.25">
      <c r="B478" s="29"/>
      <c r="C478" s="29">
        <v>37</v>
      </c>
      <c r="D478" s="29"/>
      <c r="E478" s="29" t="s">
        <v>44</v>
      </c>
      <c r="F478" s="10">
        <f>F479</f>
        <v>37000</v>
      </c>
      <c r="G478" s="10">
        <f t="shared" ref="G478:H478" si="120">G479</f>
        <v>0</v>
      </c>
      <c r="H478" s="10">
        <f t="shared" si="120"/>
        <v>37000</v>
      </c>
    </row>
    <row r="479" spans="2:8" x14ac:dyDescent="0.25">
      <c r="B479" s="30"/>
      <c r="C479" s="30"/>
      <c r="D479" s="30">
        <v>372</v>
      </c>
      <c r="E479" s="30" t="s">
        <v>45</v>
      </c>
      <c r="F479" s="12">
        <f>10000+27000</f>
        <v>37000</v>
      </c>
      <c r="G479" s="12"/>
      <c r="H479" s="12">
        <f>F479+G479</f>
        <v>37000</v>
      </c>
    </row>
    <row r="480" spans="2:8" ht="26.25" x14ac:dyDescent="0.25">
      <c r="B480" s="31"/>
      <c r="C480" s="31"/>
      <c r="D480" s="31"/>
      <c r="E480" s="40" t="s">
        <v>125</v>
      </c>
      <c r="F480" s="26">
        <f>F482</f>
        <v>54000</v>
      </c>
      <c r="G480" s="26">
        <f t="shared" ref="G480:H480" si="121">G482</f>
        <v>0</v>
      </c>
      <c r="H480" s="26">
        <f t="shared" si="121"/>
        <v>54000</v>
      </c>
    </row>
    <row r="481" spans="2:8" x14ac:dyDescent="0.25">
      <c r="B481" s="31"/>
      <c r="C481" s="31"/>
      <c r="D481" s="31"/>
      <c r="E481" s="27" t="s">
        <v>29</v>
      </c>
      <c r="F481" s="10">
        <v>54000</v>
      </c>
      <c r="G481" s="10"/>
      <c r="H481" s="10">
        <v>54000</v>
      </c>
    </row>
    <row r="482" spans="2:8" x14ac:dyDescent="0.25">
      <c r="B482" s="29">
        <v>3</v>
      </c>
      <c r="C482" s="29"/>
      <c r="D482" s="29"/>
      <c r="E482" s="29" t="s">
        <v>6</v>
      </c>
      <c r="F482" s="10">
        <f>F483</f>
        <v>54000</v>
      </c>
      <c r="G482" s="10">
        <f t="shared" ref="G482:H483" si="122">G483</f>
        <v>0</v>
      </c>
      <c r="H482" s="10">
        <f t="shared" si="122"/>
        <v>54000</v>
      </c>
    </row>
    <row r="483" spans="2:8" x14ac:dyDescent="0.25">
      <c r="B483" s="29"/>
      <c r="C483" s="29">
        <v>37</v>
      </c>
      <c r="D483" s="29"/>
      <c r="E483" s="29" t="s">
        <v>44</v>
      </c>
      <c r="F483" s="10">
        <f>F484</f>
        <v>54000</v>
      </c>
      <c r="G483" s="10">
        <f t="shared" si="122"/>
        <v>0</v>
      </c>
      <c r="H483" s="10">
        <f t="shared" si="122"/>
        <v>54000</v>
      </c>
    </row>
    <row r="484" spans="2:8" x14ac:dyDescent="0.25">
      <c r="B484" s="30"/>
      <c r="C484" s="30"/>
      <c r="D484" s="30">
        <v>372</v>
      </c>
      <c r="E484" s="30" t="s">
        <v>45</v>
      </c>
      <c r="F484" s="12">
        <v>54000</v>
      </c>
      <c r="G484" s="12"/>
      <c r="H484" s="12">
        <f>F484+G484</f>
        <v>54000</v>
      </c>
    </row>
    <row r="485" spans="2:8" ht="25.5" x14ac:dyDescent="0.25">
      <c r="B485" s="48"/>
      <c r="C485" s="48"/>
      <c r="D485" s="48"/>
      <c r="E485" s="130" t="s">
        <v>74</v>
      </c>
      <c r="F485" s="21">
        <f>F487</f>
        <v>239270.09</v>
      </c>
      <c r="G485" s="21">
        <f t="shared" ref="G485:H485" si="123">G487</f>
        <v>2186</v>
      </c>
      <c r="H485" s="21">
        <f t="shared" si="123"/>
        <v>241456.09</v>
      </c>
    </row>
    <row r="486" spans="2:8" ht="25.5" x14ac:dyDescent="0.25">
      <c r="B486" s="48"/>
      <c r="C486" s="48"/>
      <c r="D486" s="48"/>
      <c r="E486" s="130" t="s">
        <v>75</v>
      </c>
      <c r="F486" s="21"/>
      <c r="G486" s="21"/>
      <c r="H486" s="21"/>
    </row>
    <row r="487" spans="2:8" ht="38.25" x14ac:dyDescent="0.25">
      <c r="B487" s="49"/>
      <c r="C487" s="49"/>
      <c r="D487" s="49"/>
      <c r="E487" s="132" t="s">
        <v>126</v>
      </c>
      <c r="F487" s="23">
        <f>F488+F502+F507+F512+F517+F522+F494</f>
        <v>239270.09</v>
      </c>
      <c r="G487" s="23">
        <f t="shared" ref="G487:H487" si="124">G488+G502+G507+G512+G517+G522+G494</f>
        <v>2186</v>
      </c>
      <c r="H487" s="23">
        <f t="shared" si="124"/>
        <v>241456.09</v>
      </c>
    </row>
    <row r="488" spans="2:8" ht="26.25" x14ac:dyDescent="0.25">
      <c r="B488" s="31"/>
      <c r="C488" s="31"/>
      <c r="D488" s="31"/>
      <c r="E488" s="40" t="s">
        <v>76</v>
      </c>
      <c r="F488" s="26">
        <f>F491</f>
        <v>53414</v>
      </c>
      <c r="G488" s="26">
        <f t="shared" ref="G488:H488" si="125">G491</f>
        <v>2186</v>
      </c>
      <c r="H488" s="26">
        <f t="shared" si="125"/>
        <v>55600</v>
      </c>
    </row>
    <row r="489" spans="2:8" x14ac:dyDescent="0.25">
      <c r="B489" s="31"/>
      <c r="C489" s="31"/>
      <c r="D489" s="31"/>
      <c r="E489" s="27" t="s">
        <v>145</v>
      </c>
      <c r="F489" s="10">
        <f>53414-9500</f>
        <v>43914</v>
      </c>
      <c r="G489" s="10"/>
      <c r="H489" s="10">
        <f>H488-H490</f>
        <v>46100</v>
      </c>
    </row>
    <row r="490" spans="2:8" x14ac:dyDescent="0.25">
      <c r="B490" s="31"/>
      <c r="C490" s="31"/>
      <c r="D490" s="31"/>
      <c r="E490" s="27" t="s">
        <v>169</v>
      </c>
      <c r="F490" s="10">
        <v>9500</v>
      </c>
      <c r="G490" s="10"/>
      <c r="H490" s="10">
        <v>9500</v>
      </c>
    </row>
    <row r="491" spans="2:8" x14ac:dyDescent="0.25">
      <c r="B491" s="29">
        <v>3</v>
      </c>
      <c r="C491" s="29"/>
      <c r="D491" s="29"/>
      <c r="E491" s="29" t="s">
        <v>6</v>
      </c>
      <c r="F491" s="10">
        <f>F492</f>
        <v>53414</v>
      </c>
      <c r="G491" s="10">
        <f t="shared" ref="G491:H492" si="126">G492</f>
        <v>2186</v>
      </c>
      <c r="H491" s="10">
        <f t="shared" si="126"/>
        <v>55600</v>
      </c>
    </row>
    <row r="492" spans="2:8" x14ac:dyDescent="0.25">
      <c r="B492" s="29"/>
      <c r="C492" s="29">
        <v>37</v>
      </c>
      <c r="D492" s="29"/>
      <c r="E492" s="29" t="s">
        <v>44</v>
      </c>
      <c r="F492" s="10">
        <f>F493</f>
        <v>53414</v>
      </c>
      <c r="G492" s="10">
        <f t="shared" si="126"/>
        <v>2186</v>
      </c>
      <c r="H492" s="10">
        <f t="shared" si="126"/>
        <v>55600</v>
      </c>
    </row>
    <row r="493" spans="2:8" x14ac:dyDescent="0.25">
      <c r="B493" s="30"/>
      <c r="C493" s="30"/>
      <c r="D493" s="30">
        <v>372</v>
      </c>
      <c r="E493" s="30" t="s">
        <v>45</v>
      </c>
      <c r="F493" s="12">
        <f>43914+9500</f>
        <v>53414</v>
      </c>
      <c r="G493" s="12">
        <v>2186</v>
      </c>
      <c r="H493" s="12">
        <f>F493+G493</f>
        <v>55600</v>
      </c>
    </row>
    <row r="494" spans="2:8" x14ac:dyDescent="0.25">
      <c r="B494" s="31"/>
      <c r="C494" s="31"/>
      <c r="D494" s="31"/>
      <c r="E494" s="40" t="s">
        <v>189</v>
      </c>
      <c r="F494" s="26">
        <f>F496</f>
        <v>128256.09</v>
      </c>
      <c r="G494" s="26">
        <f t="shared" ref="G494:H494" si="127">G496</f>
        <v>0</v>
      </c>
      <c r="H494" s="26">
        <f t="shared" si="127"/>
        <v>128256.09</v>
      </c>
    </row>
    <row r="495" spans="2:8" x14ac:dyDescent="0.25">
      <c r="B495" s="31"/>
      <c r="C495" s="31"/>
      <c r="D495" s="31"/>
      <c r="E495" s="27" t="s">
        <v>169</v>
      </c>
      <c r="F495" s="10">
        <v>128256.09</v>
      </c>
      <c r="G495" s="10"/>
      <c r="H495" s="10">
        <v>128256.09</v>
      </c>
    </row>
    <row r="496" spans="2:8" x14ac:dyDescent="0.25">
      <c r="B496" s="29">
        <v>3</v>
      </c>
      <c r="C496" s="29"/>
      <c r="D496" s="29"/>
      <c r="E496" s="29" t="s">
        <v>6</v>
      </c>
      <c r="F496" s="10">
        <f>F497+F500</f>
        <v>128256.09</v>
      </c>
      <c r="G496" s="10">
        <f t="shared" ref="G496:H496" si="128">G497+G500</f>
        <v>0</v>
      </c>
      <c r="H496" s="10">
        <f t="shared" si="128"/>
        <v>128256.09</v>
      </c>
    </row>
    <row r="497" spans="2:8" x14ac:dyDescent="0.25">
      <c r="B497" s="29"/>
      <c r="C497" s="29">
        <v>31</v>
      </c>
      <c r="D497" s="29"/>
      <c r="E497" s="29" t="s">
        <v>7</v>
      </c>
      <c r="F497" s="10">
        <f>F498+F499</f>
        <v>113587.77</v>
      </c>
      <c r="G497" s="10">
        <f t="shared" ref="G497:H497" si="129">G498+G499</f>
        <v>0</v>
      </c>
      <c r="H497" s="10">
        <f t="shared" si="129"/>
        <v>113587.77</v>
      </c>
    </row>
    <row r="498" spans="2:8" x14ac:dyDescent="0.25">
      <c r="B498" s="30"/>
      <c r="C498" s="30"/>
      <c r="D498" s="30">
        <v>311</v>
      </c>
      <c r="E498" s="30" t="s">
        <v>21</v>
      </c>
      <c r="F498" s="12">
        <v>97500.24</v>
      </c>
      <c r="G498" s="109"/>
      <c r="H498" s="12">
        <f>F498+G498</f>
        <v>97500.24</v>
      </c>
    </row>
    <row r="499" spans="2:8" x14ac:dyDescent="0.25">
      <c r="B499" s="30"/>
      <c r="C499" s="30"/>
      <c r="D499" s="30">
        <v>313</v>
      </c>
      <c r="E499" s="30" t="s">
        <v>147</v>
      </c>
      <c r="F499" s="12">
        <v>16087.53</v>
      </c>
      <c r="G499" s="12"/>
      <c r="H499" s="12">
        <f>F499+G499</f>
        <v>16087.53</v>
      </c>
    </row>
    <row r="500" spans="2:8" x14ac:dyDescent="0.25">
      <c r="B500" s="30"/>
      <c r="C500" s="29">
        <v>32</v>
      </c>
      <c r="D500" s="30"/>
      <c r="E500" s="29" t="s">
        <v>11</v>
      </c>
      <c r="F500" s="10">
        <f>F501</f>
        <v>14668.32</v>
      </c>
      <c r="G500" s="10">
        <f t="shared" ref="G500:H500" si="130">G501</f>
        <v>0</v>
      </c>
      <c r="H500" s="10">
        <f t="shared" si="130"/>
        <v>14668.32</v>
      </c>
    </row>
    <row r="501" spans="2:8" x14ac:dyDescent="0.25">
      <c r="B501" s="30"/>
      <c r="C501" s="29"/>
      <c r="D501" s="30">
        <v>321</v>
      </c>
      <c r="E501" s="30" t="s">
        <v>12</v>
      </c>
      <c r="F501" s="12">
        <f>3844.32+10824</f>
        <v>14668.32</v>
      </c>
      <c r="G501" s="12"/>
      <c r="H501" s="12">
        <f>F501+G501</f>
        <v>14668.32</v>
      </c>
    </row>
    <row r="502" spans="2:8" x14ac:dyDescent="0.25">
      <c r="B502" s="31"/>
      <c r="C502" s="31"/>
      <c r="D502" s="31"/>
      <c r="E502" s="40" t="s">
        <v>127</v>
      </c>
      <c r="F502" s="26">
        <f>F504</f>
        <v>5000</v>
      </c>
      <c r="G502" s="26">
        <f t="shared" ref="G502:H502" si="131">G504</f>
        <v>0</v>
      </c>
      <c r="H502" s="26">
        <f t="shared" si="131"/>
        <v>5000</v>
      </c>
    </row>
    <row r="503" spans="2:8" x14ac:dyDescent="0.25">
      <c r="B503" s="31"/>
      <c r="C503" s="31"/>
      <c r="D503" s="31"/>
      <c r="E503" s="27" t="s">
        <v>29</v>
      </c>
      <c r="F503" s="10">
        <v>5000</v>
      </c>
      <c r="G503" s="10"/>
      <c r="H503" s="10">
        <v>5000</v>
      </c>
    </row>
    <row r="504" spans="2:8" x14ac:dyDescent="0.25">
      <c r="B504" s="29">
        <v>3</v>
      </c>
      <c r="C504" s="29"/>
      <c r="D504" s="29"/>
      <c r="E504" s="29" t="s">
        <v>6</v>
      </c>
      <c r="F504" s="10">
        <f>F505</f>
        <v>5000</v>
      </c>
      <c r="G504" s="10">
        <f t="shared" ref="G504:H505" si="132">G505</f>
        <v>0</v>
      </c>
      <c r="H504" s="10">
        <f t="shared" si="132"/>
        <v>5000</v>
      </c>
    </row>
    <row r="505" spans="2:8" x14ac:dyDescent="0.25">
      <c r="B505" s="29"/>
      <c r="C505" s="29">
        <v>38</v>
      </c>
      <c r="D505" s="29"/>
      <c r="E505" s="29" t="s">
        <v>15</v>
      </c>
      <c r="F505" s="10">
        <f>F506</f>
        <v>5000</v>
      </c>
      <c r="G505" s="10">
        <f t="shared" si="132"/>
        <v>0</v>
      </c>
      <c r="H505" s="10">
        <f t="shared" si="132"/>
        <v>5000</v>
      </c>
    </row>
    <row r="506" spans="2:8" x14ac:dyDescent="0.25">
      <c r="B506" s="30"/>
      <c r="C506" s="30"/>
      <c r="D506" s="30">
        <v>381</v>
      </c>
      <c r="E506" s="30" t="s">
        <v>30</v>
      </c>
      <c r="F506" s="12">
        <v>5000</v>
      </c>
      <c r="G506" s="12"/>
      <c r="H506" s="12">
        <f>F506+G506</f>
        <v>5000</v>
      </c>
    </row>
    <row r="507" spans="2:8" ht="26.25" x14ac:dyDescent="0.25">
      <c r="B507" s="31"/>
      <c r="C507" s="31"/>
      <c r="D507" s="31"/>
      <c r="E507" s="40" t="s">
        <v>77</v>
      </c>
      <c r="F507" s="26">
        <f>F509</f>
        <v>27000</v>
      </c>
      <c r="G507" s="26">
        <f t="shared" ref="G507:H507" si="133">G509</f>
        <v>0</v>
      </c>
      <c r="H507" s="26">
        <f t="shared" si="133"/>
        <v>27000</v>
      </c>
    </row>
    <row r="508" spans="2:8" x14ac:dyDescent="0.25">
      <c r="B508" s="31"/>
      <c r="C508" s="31"/>
      <c r="D508" s="31"/>
      <c r="E508" s="27" t="s">
        <v>29</v>
      </c>
      <c r="F508" s="10">
        <v>27000</v>
      </c>
      <c r="G508" s="10"/>
      <c r="H508" s="10">
        <v>27000</v>
      </c>
    </row>
    <row r="509" spans="2:8" x14ac:dyDescent="0.25">
      <c r="B509" s="29">
        <v>3</v>
      </c>
      <c r="C509" s="29"/>
      <c r="D509" s="29"/>
      <c r="E509" s="29" t="s">
        <v>6</v>
      </c>
      <c r="F509" s="10">
        <f>F510</f>
        <v>27000</v>
      </c>
      <c r="G509" s="10">
        <f t="shared" ref="G509:H510" si="134">G510</f>
        <v>0</v>
      </c>
      <c r="H509" s="10">
        <f t="shared" si="134"/>
        <v>27000</v>
      </c>
    </row>
    <row r="510" spans="2:8" x14ac:dyDescent="0.25">
      <c r="B510" s="29"/>
      <c r="C510" s="29">
        <v>37</v>
      </c>
      <c r="D510" s="29"/>
      <c r="E510" s="29" t="s">
        <v>44</v>
      </c>
      <c r="F510" s="10">
        <f>F511</f>
        <v>27000</v>
      </c>
      <c r="G510" s="10">
        <f t="shared" si="134"/>
        <v>0</v>
      </c>
      <c r="H510" s="10">
        <f t="shared" si="134"/>
        <v>27000</v>
      </c>
    </row>
    <row r="511" spans="2:8" x14ac:dyDescent="0.25">
      <c r="B511" s="30"/>
      <c r="C511" s="30"/>
      <c r="D511" s="30">
        <v>372</v>
      </c>
      <c r="E511" s="30" t="s">
        <v>45</v>
      </c>
      <c r="F511" s="12">
        <f>13000+14000</f>
        <v>27000</v>
      </c>
      <c r="G511" s="12"/>
      <c r="H511" s="12">
        <f>F511+G511</f>
        <v>27000</v>
      </c>
    </row>
    <row r="512" spans="2:8" ht="26.25" x14ac:dyDescent="0.25">
      <c r="B512" s="31"/>
      <c r="C512" s="31"/>
      <c r="D512" s="31"/>
      <c r="E512" s="40" t="s">
        <v>141</v>
      </c>
      <c r="F512" s="26">
        <f>F514</f>
        <v>20000</v>
      </c>
      <c r="G512" s="26">
        <f t="shared" ref="G512:H512" si="135">G514</f>
        <v>0</v>
      </c>
      <c r="H512" s="26">
        <f t="shared" si="135"/>
        <v>20000</v>
      </c>
    </row>
    <row r="513" spans="2:8" x14ac:dyDescent="0.25">
      <c r="B513" s="31"/>
      <c r="C513" s="31"/>
      <c r="D513" s="31"/>
      <c r="E513" s="27" t="s">
        <v>29</v>
      </c>
      <c r="F513" s="10">
        <v>20000</v>
      </c>
      <c r="G513" s="10"/>
      <c r="H513" s="10">
        <v>20000</v>
      </c>
    </row>
    <row r="514" spans="2:8" x14ac:dyDescent="0.25">
      <c r="B514" s="29">
        <v>3</v>
      </c>
      <c r="C514" s="29"/>
      <c r="D514" s="29"/>
      <c r="E514" s="29" t="s">
        <v>6</v>
      </c>
      <c r="F514" s="10">
        <f>F515</f>
        <v>20000</v>
      </c>
      <c r="G514" s="10">
        <f t="shared" ref="G514:H515" si="136">G515</f>
        <v>0</v>
      </c>
      <c r="H514" s="10">
        <f t="shared" si="136"/>
        <v>20000</v>
      </c>
    </row>
    <row r="515" spans="2:8" x14ac:dyDescent="0.25">
      <c r="B515" s="29"/>
      <c r="C515" s="29">
        <v>37</v>
      </c>
      <c r="D515" s="29"/>
      <c r="E515" s="29" t="s">
        <v>44</v>
      </c>
      <c r="F515" s="10">
        <f>F516</f>
        <v>20000</v>
      </c>
      <c r="G515" s="10">
        <f t="shared" si="136"/>
        <v>0</v>
      </c>
      <c r="H515" s="10">
        <f t="shared" si="136"/>
        <v>20000</v>
      </c>
    </row>
    <row r="516" spans="2:8" x14ac:dyDescent="0.25">
      <c r="B516" s="30"/>
      <c r="C516" s="30"/>
      <c r="D516" s="30">
        <v>372</v>
      </c>
      <c r="E516" s="30" t="s">
        <v>45</v>
      </c>
      <c r="F516" s="12">
        <f>5000+15000</f>
        <v>20000</v>
      </c>
      <c r="G516" s="12"/>
      <c r="H516" s="12">
        <f>F516+G516</f>
        <v>20000</v>
      </c>
    </row>
    <row r="517" spans="2:8" ht="26.25" x14ac:dyDescent="0.25">
      <c r="B517" s="31"/>
      <c r="C517" s="31"/>
      <c r="D517" s="31"/>
      <c r="E517" s="40" t="s">
        <v>128</v>
      </c>
      <c r="F517" s="26">
        <f>F519</f>
        <v>4000</v>
      </c>
      <c r="G517" s="26">
        <f t="shared" ref="G517:H517" si="137">G519</f>
        <v>0</v>
      </c>
      <c r="H517" s="26">
        <f t="shared" si="137"/>
        <v>4000</v>
      </c>
    </row>
    <row r="518" spans="2:8" x14ac:dyDescent="0.25">
      <c r="B518" s="31"/>
      <c r="C518" s="31"/>
      <c r="D518" s="31"/>
      <c r="E518" s="27" t="s">
        <v>29</v>
      </c>
      <c r="F518" s="10">
        <v>4000</v>
      </c>
      <c r="G518" s="10"/>
      <c r="H518" s="10">
        <v>4000</v>
      </c>
    </row>
    <row r="519" spans="2:8" x14ac:dyDescent="0.25">
      <c r="B519" s="29">
        <v>3</v>
      </c>
      <c r="C519" s="29"/>
      <c r="D519" s="29"/>
      <c r="E519" s="29" t="s">
        <v>6</v>
      </c>
      <c r="F519" s="10">
        <f>F520</f>
        <v>4000</v>
      </c>
      <c r="G519" s="10">
        <f t="shared" ref="G519:H520" si="138">G520</f>
        <v>0</v>
      </c>
      <c r="H519" s="10">
        <f t="shared" si="138"/>
        <v>4000</v>
      </c>
    </row>
    <row r="520" spans="2:8" x14ac:dyDescent="0.25">
      <c r="B520" s="29"/>
      <c r="C520" s="29">
        <v>38</v>
      </c>
      <c r="D520" s="29"/>
      <c r="E520" s="29" t="s">
        <v>15</v>
      </c>
      <c r="F520" s="10">
        <f>F521</f>
        <v>4000</v>
      </c>
      <c r="G520" s="10">
        <f t="shared" si="138"/>
        <v>0</v>
      </c>
      <c r="H520" s="10">
        <f t="shared" si="138"/>
        <v>4000</v>
      </c>
    </row>
    <row r="521" spans="2:8" x14ac:dyDescent="0.25">
      <c r="B521" s="30"/>
      <c r="C521" s="30"/>
      <c r="D521" s="30">
        <v>381</v>
      </c>
      <c r="E521" s="30" t="s">
        <v>30</v>
      </c>
      <c r="F521" s="12">
        <f>1000+3000</f>
        <v>4000</v>
      </c>
      <c r="G521" s="12"/>
      <c r="H521" s="12">
        <f>F521+G521</f>
        <v>4000</v>
      </c>
    </row>
    <row r="522" spans="2:8" x14ac:dyDescent="0.25">
      <c r="B522" s="31"/>
      <c r="C522" s="31"/>
      <c r="D522" s="31"/>
      <c r="E522" s="40" t="s">
        <v>78</v>
      </c>
      <c r="F522" s="26">
        <f>F524</f>
        <v>1600</v>
      </c>
      <c r="G522" s="26">
        <f t="shared" ref="G522:H522" si="139">G524</f>
        <v>0</v>
      </c>
      <c r="H522" s="26">
        <f t="shared" si="139"/>
        <v>1600</v>
      </c>
    </row>
    <row r="523" spans="2:8" x14ac:dyDescent="0.25">
      <c r="B523" s="31"/>
      <c r="C523" s="31"/>
      <c r="D523" s="31"/>
      <c r="E523" s="27" t="s">
        <v>29</v>
      </c>
      <c r="F523" s="86">
        <v>1600</v>
      </c>
      <c r="G523" s="86"/>
      <c r="H523" s="86">
        <v>1600</v>
      </c>
    </row>
    <row r="524" spans="2:8" x14ac:dyDescent="0.25">
      <c r="B524" s="29">
        <v>3</v>
      </c>
      <c r="C524" s="29"/>
      <c r="D524" s="29"/>
      <c r="E524" s="29" t="s">
        <v>6</v>
      </c>
      <c r="F524" s="86">
        <f>F525</f>
        <v>1600</v>
      </c>
      <c r="G524" s="86">
        <f t="shared" ref="G524:H525" si="140">G525</f>
        <v>0</v>
      </c>
      <c r="H524" s="86">
        <f t="shared" si="140"/>
        <v>1600</v>
      </c>
    </row>
    <row r="525" spans="2:8" x14ac:dyDescent="0.25">
      <c r="B525" s="29"/>
      <c r="C525" s="29">
        <v>38</v>
      </c>
      <c r="D525" s="29"/>
      <c r="E525" s="29" t="s">
        <v>15</v>
      </c>
      <c r="F525" s="86">
        <f>F526</f>
        <v>1600</v>
      </c>
      <c r="G525" s="86">
        <f t="shared" si="140"/>
        <v>0</v>
      </c>
      <c r="H525" s="86">
        <f t="shared" si="140"/>
        <v>1600</v>
      </c>
    </row>
    <row r="526" spans="2:8" x14ac:dyDescent="0.25">
      <c r="B526" s="30"/>
      <c r="C526" s="30"/>
      <c r="D526" s="30">
        <v>381</v>
      </c>
      <c r="E526" s="30" t="s">
        <v>30</v>
      </c>
      <c r="F526" s="55">
        <v>1600</v>
      </c>
      <c r="G526" s="55"/>
      <c r="H526" s="55">
        <f>F526+G526</f>
        <v>1600</v>
      </c>
    </row>
    <row r="527" spans="2:8" x14ac:dyDescent="0.25">
      <c r="B527" s="34"/>
      <c r="C527" s="34"/>
      <c r="D527" s="34"/>
      <c r="E527" s="34"/>
      <c r="F527" s="89"/>
      <c r="G527" s="89"/>
      <c r="H527" s="89"/>
    </row>
    <row r="528" spans="2:8" x14ac:dyDescent="0.25">
      <c r="B528" s="34"/>
      <c r="C528" s="34"/>
      <c r="D528" s="34"/>
      <c r="E528" s="34"/>
      <c r="F528" s="17"/>
      <c r="G528" s="17"/>
      <c r="H528" s="17"/>
    </row>
    <row r="529" spans="1:8" x14ac:dyDescent="0.25">
      <c r="B529" s="201" t="s">
        <v>129</v>
      </c>
      <c r="C529" s="201"/>
      <c r="D529" s="201"/>
      <c r="E529" s="201"/>
      <c r="F529" s="201"/>
      <c r="G529" s="201"/>
      <c r="H529" s="201"/>
    </row>
    <row r="530" spans="1:8" x14ac:dyDescent="0.25">
      <c r="B530" s="65"/>
      <c r="C530" s="65"/>
      <c r="D530" s="65"/>
      <c r="E530" s="65"/>
      <c r="F530" s="65"/>
      <c r="G530" s="65"/>
      <c r="H530" s="65"/>
    </row>
    <row r="531" spans="1:8" ht="30" customHeight="1" x14ac:dyDescent="0.25">
      <c r="B531" s="205" t="s">
        <v>212</v>
      </c>
      <c r="C531" s="205"/>
      <c r="D531" s="205"/>
      <c r="E531" s="205"/>
      <c r="F531" s="205"/>
      <c r="G531" s="205"/>
      <c r="H531" s="205"/>
    </row>
    <row r="532" spans="1:8" x14ac:dyDescent="0.25">
      <c r="B532"/>
      <c r="C532"/>
      <c r="D532"/>
      <c r="E532"/>
      <c r="F532"/>
      <c r="G532"/>
      <c r="H532"/>
    </row>
    <row r="533" spans="1:8" x14ac:dyDescent="0.25">
      <c r="B533" s="206" t="s">
        <v>130</v>
      </c>
      <c r="C533" s="206"/>
      <c r="D533" s="206"/>
      <c r="E533" s="206"/>
      <c r="F533" s="206"/>
      <c r="G533" s="206"/>
      <c r="H533" s="206"/>
    </row>
    <row r="534" spans="1:8" x14ac:dyDescent="0.25">
      <c r="B534" s="153"/>
      <c r="C534" s="153"/>
      <c r="D534" s="153"/>
      <c r="E534" s="153"/>
      <c r="F534" s="153"/>
      <c r="G534" s="153"/>
      <c r="H534" s="153"/>
    </row>
    <row r="535" spans="1:8" x14ac:dyDescent="0.25">
      <c r="B535" s="201" t="s">
        <v>131</v>
      </c>
      <c r="C535" s="201"/>
      <c r="D535" s="201"/>
      <c r="E535" s="201"/>
      <c r="F535" s="201"/>
      <c r="G535" s="201"/>
      <c r="H535" s="201"/>
    </row>
    <row r="536" spans="1:8" x14ac:dyDescent="0.25">
      <c r="B536"/>
      <c r="C536"/>
      <c r="D536"/>
      <c r="E536"/>
      <c r="F536"/>
      <c r="G536"/>
      <c r="H536" s="66"/>
    </row>
    <row r="537" spans="1:8" ht="29.25" customHeight="1" x14ac:dyDescent="0.25">
      <c r="A537" s="88"/>
      <c r="B537" s="207" t="s">
        <v>213</v>
      </c>
      <c r="C537" s="207"/>
      <c r="D537" s="207"/>
      <c r="E537" s="207"/>
      <c r="F537" s="207"/>
      <c r="G537" s="207"/>
      <c r="H537" s="207"/>
    </row>
    <row r="538" spans="1:8" x14ac:dyDescent="0.25">
      <c r="B538"/>
      <c r="C538"/>
      <c r="D538"/>
      <c r="E538"/>
      <c r="F538"/>
      <c r="G538"/>
      <c r="H538" s="66"/>
    </row>
    <row r="539" spans="1:8" x14ac:dyDescent="0.25">
      <c r="B539" s="201" t="s">
        <v>132</v>
      </c>
      <c r="C539" s="201"/>
      <c r="D539" s="201"/>
      <c r="E539" s="201"/>
      <c r="F539" s="201"/>
      <c r="G539" s="201"/>
      <c r="H539" s="201"/>
    </row>
    <row r="540" spans="1:8" x14ac:dyDescent="0.25">
      <c r="B540" s="201" t="s">
        <v>133</v>
      </c>
      <c r="C540" s="201"/>
      <c r="D540" s="201"/>
      <c r="E540" s="201"/>
      <c r="F540" s="201"/>
      <c r="G540" s="201"/>
      <c r="H540" s="201"/>
    </row>
    <row r="541" spans="1:8" x14ac:dyDescent="0.25">
      <c r="A541" s="96"/>
      <c r="B541" s="96"/>
      <c r="C541" s="96"/>
      <c r="D541" s="96"/>
      <c r="E541" s="96"/>
      <c r="F541" s="102"/>
      <c r="G541" s="102"/>
      <c r="H541" s="103"/>
    </row>
    <row r="542" spans="1:8" x14ac:dyDescent="0.25">
      <c r="A542" s="157"/>
      <c r="B542" s="108" t="s">
        <v>231</v>
      </c>
      <c r="C542" s="108"/>
      <c r="D542" s="108"/>
      <c r="E542" s="108"/>
      <c r="F542" s="102"/>
      <c r="G542" s="102"/>
      <c r="H542" s="103"/>
    </row>
    <row r="543" spans="1:8" x14ac:dyDescent="0.25">
      <c r="A543" s="157"/>
      <c r="B543" s="108" t="s">
        <v>232</v>
      </c>
      <c r="C543" s="108"/>
      <c r="D543" s="108"/>
      <c r="E543" s="108"/>
      <c r="F543" s="102"/>
      <c r="G543" s="102"/>
      <c r="H543" s="103"/>
    </row>
    <row r="544" spans="1:8" s="96" customFormat="1" x14ac:dyDescent="0.25">
      <c r="A544" s="157"/>
      <c r="B544" s="150" t="s">
        <v>230</v>
      </c>
      <c r="C544" s="185"/>
      <c r="D544" s="185"/>
      <c r="E544" s="185"/>
      <c r="F544" s="111"/>
      <c r="G544" s="111"/>
      <c r="H544" s="112"/>
    </row>
    <row r="545" spans="1:8" x14ac:dyDescent="0.25">
      <c r="A545" s="108"/>
      <c r="B545" s="108"/>
      <c r="C545" s="108"/>
      <c r="D545" s="108"/>
      <c r="E545" s="108"/>
      <c r="G545" s="2" t="s">
        <v>185</v>
      </c>
      <c r="H545" s="67"/>
    </row>
    <row r="546" spans="1:8" x14ac:dyDescent="0.25">
      <c r="A546" s="96"/>
      <c r="B546" s="102"/>
      <c r="C546" s="102"/>
      <c r="D546" s="102"/>
      <c r="E546" s="102"/>
      <c r="G546" s="2" t="s">
        <v>143</v>
      </c>
      <c r="H546" s="68"/>
    </row>
  </sheetData>
  <mergeCells count="86">
    <mergeCell ref="B540:H540"/>
    <mergeCell ref="A28:H28"/>
    <mergeCell ref="A29:H29"/>
    <mergeCell ref="B529:H529"/>
    <mergeCell ref="B531:H531"/>
    <mergeCell ref="B533:H533"/>
    <mergeCell ref="B535:H535"/>
    <mergeCell ref="B537:H537"/>
    <mergeCell ref="B539:H539"/>
    <mergeCell ref="B153:H153"/>
    <mergeCell ref="B155:E155"/>
    <mergeCell ref="F155:F158"/>
    <mergeCell ref="G155:G158"/>
    <mergeCell ref="H155:H158"/>
    <mergeCell ref="C156:E156"/>
    <mergeCell ref="D157:E157"/>
    <mergeCell ref="B151:H151"/>
    <mergeCell ref="A138:D138"/>
    <mergeCell ref="A139:D139"/>
    <mergeCell ref="A140:D140"/>
    <mergeCell ref="A141:D141"/>
    <mergeCell ref="A142:D142"/>
    <mergeCell ref="A143:D143"/>
    <mergeCell ref="A144:D144"/>
    <mergeCell ref="A145:D145"/>
    <mergeCell ref="A146:D146"/>
    <mergeCell ref="A147:D147"/>
    <mergeCell ref="B149:H149"/>
    <mergeCell ref="H115:H118"/>
    <mergeCell ref="C116:E116"/>
    <mergeCell ref="D117:E117"/>
    <mergeCell ref="A126:A130"/>
    <mergeCell ref="B126:E126"/>
    <mergeCell ref="F126:F129"/>
    <mergeCell ref="G126:G129"/>
    <mergeCell ref="H126:H129"/>
    <mergeCell ref="C127:E127"/>
    <mergeCell ref="D128:E128"/>
    <mergeCell ref="G115:G118"/>
    <mergeCell ref="B111:E111"/>
    <mergeCell ref="B113:E113"/>
    <mergeCell ref="A115:A119"/>
    <mergeCell ref="B115:E115"/>
    <mergeCell ref="F115:F118"/>
    <mergeCell ref="H95:H98"/>
    <mergeCell ref="C96:E96"/>
    <mergeCell ref="D97:E97"/>
    <mergeCell ref="B62:E62"/>
    <mergeCell ref="A64:A68"/>
    <mergeCell ref="B64:E64"/>
    <mergeCell ref="F64:F67"/>
    <mergeCell ref="G64:G67"/>
    <mergeCell ref="H64:H67"/>
    <mergeCell ref="C65:E65"/>
    <mergeCell ref="D66:E66"/>
    <mergeCell ref="B93:E93"/>
    <mergeCell ref="A95:A99"/>
    <mergeCell ref="B95:E95"/>
    <mergeCell ref="F95:F98"/>
    <mergeCell ref="G95:G98"/>
    <mergeCell ref="H37:H40"/>
    <mergeCell ref="C38:E38"/>
    <mergeCell ref="D39:E39"/>
    <mergeCell ref="A23:E23"/>
    <mergeCell ref="A24:E24"/>
    <mergeCell ref="A25:E25"/>
    <mergeCell ref="A26:E26"/>
    <mergeCell ref="B31:H31"/>
    <mergeCell ref="B33:H33"/>
    <mergeCell ref="B35:E35"/>
    <mergeCell ref="A37:A41"/>
    <mergeCell ref="B37:E37"/>
    <mergeCell ref="F37:F40"/>
    <mergeCell ref="G37:G40"/>
    <mergeCell ref="B21:E21"/>
    <mergeCell ref="B1:H1"/>
    <mergeCell ref="B3:H3"/>
    <mergeCell ref="B4:H4"/>
    <mergeCell ref="B6:H6"/>
    <mergeCell ref="B8:H8"/>
    <mergeCell ref="B10:H10"/>
    <mergeCell ref="A15:E15"/>
    <mergeCell ref="A16:E16"/>
    <mergeCell ref="A17:E17"/>
    <mergeCell ref="A18:E18"/>
    <mergeCell ref="A19:E19"/>
  </mergeCells>
  <pageMargins left="0.51181102362204722" right="0.31496062992125984" top="0.55118110236220474" bottom="0.35433070866141736" header="0.31496062992125984" footer="0.31496062992125984"/>
  <pageSetup paperSize="9" scale="95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I. Izmjene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2020-06-01T06:42:31Z</cp:lastPrinted>
  <dcterms:created xsi:type="dcterms:W3CDTF">2017-09-19T10:56:48Z</dcterms:created>
  <dcterms:modified xsi:type="dcterms:W3CDTF">2020-06-15T06:14:03Z</dcterms:modified>
</cp:coreProperties>
</file>